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3D64764A-2AF2-4E8B-8591-EDAA8D702E56}" xr6:coauthVersionLast="47" xr6:coauthVersionMax="47" xr10:uidLastSave="{00000000-0000-0000-0000-000000000000}"/>
  <bookViews>
    <workbookView xWindow="-120" yWindow="-120" windowWidth="29040" windowHeight="15720" tabRatio="878" activeTab="4" xr2:uid="{00000000-000D-0000-FFFF-FFFF00000000}"/>
  </bookViews>
  <sheets>
    <sheet name="Parametres" sheetId="1" r:id="rId1"/>
    <sheet name="Bilan" sheetId="2" r:id="rId2"/>
    <sheet name="Inventaire_Neuf" sheetId="21" state="hidden" r:id="rId3"/>
    <sheet name="Inventaire_Used" sheetId="22" state="hidden" r:id="rId4"/>
    <sheet name="Print_Mois" sheetId="3" r:id="rId5"/>
    <sheet name="Print_AAD" sheetId="17" r:id="rId6"/>
    <sheet name="BV_Data_An_Cour" sheetId="5" r:id="rId7"/>
    <sheet name="BV_Data_An_Prec" sheetId="14" r:id="rId8"/>
    <sheet name="Data_Validation" sheetId="10" r:id="rId9"/>
    <sheet name="Budget original" sheetId="15" r:id="rId10"/>
    <sheet name="Réel 2024" sheetId="27" r:id="rId11"/>
    <sheet name="Résumé" sheetId="26" r:id="rId12"/>
    <sheet name="Q3" sheetId="31" state="hidden" r:id="rId13"/>
    <sheet name="2pager" sheetId="19" state="hidden" r:id="rId14"/>
    <sheet name="Capex" sheetId="23" state="hidden" r:id="rId15"/>
    <sheet name="Démo" sheetId="29" state="hidden" r:id="rId16"/>
    <sheet name="Wholesale" sheetId="28" state="hidden" r:id="rId17"/>
  </sheets>
  <definedNames>
    <definedName name="_Dates_Conc" localSheetId="15">#REF!</definedName>
    <definedName name="_Dates_Conc">#REF!</definedName>
    <definedName name="_xlnm._FilterDatabase" localSheetId="6" hidden="1">BV_Data_An_Cour!$A$1:$X$1055</definedName>
    <definedName name="_xlnm._FilterDatabase" localSheetId="7" hidden="1">BV_Data_An_Prec!$A$1:$X$1510</definedName>
    <definedName name="_xlnm._FilterDatabase" localSheetId="8" hidden="1">Data_Validation!$M$4:$M$10</definedName>
    <definedName name="_xlnm._FilterDatabase" localSheetId="2" hidden="1">Inventaire_Neuf!$A$1:$H$1480</definedName>
    <definedName name="_xlnm._FilterDatabase" localSheetId="3" hidden="1">Inventaire_Used!$A$1:$H$1479</definedName>
    <definedName name="_Order1" hidden="1">0</definedName>
    <definedName name="_scen" localSheetId="15">#REF!</definedName>
    <definedName name="_scen">#REF!</definedName>
    <definedName name="_scen1" localSheetId="15">#REF!</definedName>
    <definedName name="_scen1">#REF!</definedName>
    <definedName name="_scen2" localSheetId="15">#REF!</definedName>
    <definedName name="_scen2">#REF!</definedName>
    <definedName name="_SCenarios" localSheetId="15">#REF!</definedName>
    <definedName name="_SCenarios">#REF!</definedName>
    <definedName name="_Sens1" localSheetId="15">#REF!</definedName>
    <definedName name="_Sens1">#REF!</definedName>
    <definedName name="_Sens2" localSheetId="15">#REF!</definedName>
    <definedName name="_Sens2">#REF!</definedName>
    <definedName name="_sensRes1" localSheetId="15">#REF!</definedName>
    <definedName name="_sensRes1">#REF!</definedName>
    <definedName name="_sensRes2" localSheetId="15">#REF!</definedName>
    <definedName name="_sensRes2">#REF!</definedName>
    <definedName name="_sensRes3" localSheetId="15">#REF!</definedName>
    <definedName name="_sensRes3">#REF!</definedName>
    <definedName name="_sensRes4" localSheetId="15">#REF!</definedName>
    <definedName name="_sensRes4">#REF!</definedName>
    <definedName name="_sensRes5" localSheetId="15">#REF!</definedName>
    <definedName name="_sensRes5">#REF!</definedName>
    <definedName name="_sensRes6" localSheetId="15">#REF!</definedName>
    <definedName name="_sensRes6">#REF!</definedName>
    <definedName name="_sensRes7" localSheetId="15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14" hidden="1">{"Page1",#N/A,FALSE,"CompCo";"Page2",#N/A,FALSE,"CompCo"}</definedName>
    <definedName name="Compco1" localSheetId="15">{"Page1",#N/A,FALSE,"CompCo";"Page2",#N/A,FALSE,"CompCo"}</definedName>
    <definedName name="Compco1" localSheetId="12" hidden="1">{"Page1",#N/A,FALSE,"CompCo";"Page2",#N/A,FALSE,"CompCo"}</definedName>
    <definedName name="Compco1" localSheetId="11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14" hidden="1">{"Page1",#N/A,FALSE,"CompCo";"Page2",#N/A,FALSE,"CompCo"}</definedName>
    <definedName name="Compco2" localSheetId="15">{"Page1",#N/A,FALSE,"CompCo";"Page2",#N/A,FALSE,"CompCo"}</definedName>
    <definedName name="Compco2" localSheetId="12" hidden="1">{"Page1",#N/A,FALSE,"CompCo";"Page2",#N/A,FALSE,"CompCo"}</definedName>
    <definedName name="Compco2" localSheetId="11" hidden="1">{"Page1",#N/A,FALSE,"CompCo";"Page2",#N/A,FALSE,"CompCo"}</definedName>
    <definedName name="Compco2" hidden="1">{"Page1",#N/A,FALSE,"CompCo";"Page2",#N/A,FALSE,"CompCo"}</definedName>
    <definedName name="DateRange" localSheetId="15">#REF!</definedName>
    <definedName name="DateRange">#REF!</definedName>
    <definedName name="DateRangePr" localSheetId="15">OFFSET(#REF!,5,0,COUNTA(#REF!)-COUNTA(#REF!),1)</definedName>
    <definedName name="DateRangePr" hidden="1">OFFSET(#REF!,5,0,COUNTA(#REF!)-COUNTA(#REF!),1)</definedName>
    <definedName name="DateRangePrice" localSheetId="15">OFFSET(#REF!,5,0,COUNTA(#REF!)-COUNTA(#REF!),1)</definedName>
    <definedName name="DateRangePrice" hidden="1">OFFSET(#REF!,5,0,COUNTA(#REF!)-COUNTA(#REF!),1)</definedName>
    <definedName name="DateRangePrice1" localSheetId="15">OFFSET(#REF!,5,0,COUNTA(#REF!)-COUNTA(#REF!),1)</definedName>
    <definedName name="DateRangePrice1" hidden="1">OFFSET(#REF!,5,0,COUNTA(#REF!)-COUNTA(#REF!),1)</definedName>
    <definedName name="DateRangePrice2" localSheetId="15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14" hidden="1">{"execsum",#N/A,FALSE,"ExecSum";"finstatement",#N/A,FALSE,"Fin_St"}</definedName>
    <definedName name="ERT" localSheetId="15">{"execsum",#N/A,FALSE,"ExecSum";"finstatement",#N/A,FALSE,"Fin_St"}</definedName>
    <definedName name="ERT" localSheetId="12" hidden="1">{"execsum",#N/A,FALSE,"ExecSum";"finstatement",#N/A,FALSE,"Fin_St"}</definedName>
    <definedName name="ERT" localSheetId="11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15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14" hidden="1">{"finana",#N/A,FALSE,"Fin"}</definedName>
    <definedName name="kjjkghkhj" localSheetId="15">{"finana",#N/A,FALSE,"Fin"}</definedName>
    <definedName name="kjjkghkhj" localSheetId="12" hidden="1">{"finana",#N/A,FALSE,"Fin"}</definedName>
    <definedName name="kjjkghkhj" localSheetId="11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localSheetId="15">{"sub1",#N/A,FALSE,"Subs";"pac1",#N/A,FALSE,"Packages";"rev1",#N/A,FALSE,"2. Revenues"}</definedName>
    <definedName name="lkhkhj" localSheetId="12" hidden="1">{"sub1",#N/A,FALSE,"Subs";"pac1",#N/A,FALSE,"Packages";"rev1",#N/A,FALSE,"2. Revenues"}</definedName>
    <definedName name="lkhkhj" localSheetId="11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15">#REF!</definedName>
    <definedName name="Monetary_Unit">#REF!</definedName>
    <definedName name="Months" localSheetId="15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>OFFSET(#REF!,5,0,COUNTA(#REF!)-COUNTA(#REF!),1)</definedName>
    <definedName name="PriceRange" hidden="1">OFFSET(#REF!,5,0,COUNTA(#REF!)-COUNTA(#REF!),1)</definedName>
    <definedName name="PriceRange2" localSheetId="15">OFFSET(#REF!,5,0,COUNTA(#REF!)-COUNTA(#REF!),1)</definedName>
    <definedName name="PriceRange2" hidden="1">OFFSET(#REF!,5,0,COUNTA(#REF!)-COUNTA(#REF!),1)</definedName>
    <definedName name="Rng_Dealers_Names" localSheetId="15">#REF!</definedName>
    <definedName name="Rng_Dealers_Names">#REF!</definedName>
    <definedName name="Rng_Dlr_Dates" localSheetId="15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14" hidden="1">{"execsum",#N/A,FALSE,"ExecSum";"finstatement",#N/A,FALSE,"Fin_St"}</definedName>
    <definedName name="test" localSheetId="15">{"execsum",#N/A,FALSE,"ExecSum";"finstatement",#N/A,FALSE,"Fin_St"}</definedName>
    <definedName name="test" localSheetId="12" hidden="1">{"execsum",#N/A,FALSE,"ExecSum";"finstatement",#N/A,FALSE,"Fin_St"}</definedName>
    <definedName name="test" localSheetId="11" hidden="1">{"execsum",#N/A,FALSE,"ExecSum";"finstatement",#N/A,FALSE,"Fin_St"}</definedName>
    <definedName name="test" hidden="1">{"execsum",#N/A,FALSE,"ExecSum";"finstatement",#N/A,FALSE,"Fin_St"}</definedName>
    <definedName name="test21" localSheetId="15">OFFSET(#REF!,5,0,COUNTA(#REF!)-COUNTA(#REF!),1)</definedName>
    <definedName name="test21" hidden="1">OFFSET(#REF!,5,0,COUNTA(#REF!)-COUNTA(#REF!),1)</definedName>
    <definedName name="Ticker" localSheetId="15">#REF!</definedName>
    <definedName name="Ticker" localSheetId="16">#REF!</definedName>
    <definedName name="Ticker" hidden="1">#N/A</definedName>
    <definedName name="Titre" localSheetId="15">#REF!</definedName>
    <definedName name="Titre">#REF!</definedName>
    <definedName name="value" localSheetId="15">OFFSET(#REF!,5,0,COUNTA(#REF!)-COUNTA(#REF!),1)</definedName>
    <definedName name="value" hidden="1">OFFSET(#REF!,5,0,COUNTA(#REF!)-COUNTA(#REF!),1)</definedName>
    <definedName name="value2" localSheetId="15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14" hidden="1">{#N/A,#N/A,FALSE,"amendement"}</definedName>
    <definedName name="wrn.amendement." localSheetId="15">{#N/A,#N/A,FALSE,"amendement"}</definedName>
    <definedName name="wrn.amendement." localSheetId="12" hidden="1">{#N/A,#N/A,FALSE,"amendement"}</definedName>
    <definedName name="wrn.amendement." localSheetId="11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14" hidden="1">{#N/A,#N/A,FALSE,"amendement"}</definedName>
    <definedName name="wrn.amendement.." localSheetId="15">{#N/A,#N/A,FALSE,"amendement"}</definedName>
    <definedName name="wrn.amendement.." localSheetId="12" hidden="1">{#N/A,#N/A,FALSE,"amendement"}</definedName>
    <definedName name="wrn.amendement.." localSheetId="11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14" hidden="1">{"Page1",#N/A,FALSE,"CompCo";"Page2",#N/A,FALSE,"CompCo"}</definedName>
    <definedName name="wrn.COMPCO." localSheetId="15">{"Page1",#N/A,FALSE,"CompCo";"Page2",#N/A,FALSE,"CompCo"}</definedName>
    <definedName name="wrn.COMPCO." localSheetId="12" hidden="1">{"Page1",#N/A,FALSE,"CompCo";"Page2",#N/A,FALSE,"CompCo"}</definedName>
    <definedName name="wrn.COMPCO." localSheetId="11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localSheetId="15">{"Build1",#N/A,FALSE,"Buildup";"Build2",#N/A,FALSE,"Buildup";"Build3",#N/A,FALSE,"Buildup"}</definedName>
    <definedName name="wrn.detail." localSheetId="12" hidden="1">{"Build1",#N/A,FALSE,"Buildup";"Build2",#N/A,FALSE,"Buildup";"Build3",#N/A,FALSE,"Buildup"}</definedName>
    <definedName name="wrn.detail." localSheetId="11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localSheetId="15">{"execsum",#N/A,FALSE,"ExecSum";"finstatement",#N/A,FALSE,"Fin_St"}</definedName>
    <definedName name="wrn.execsum." localSheetId="12" hidden="1">{"execsum",#N/A,FALSE,"ExecSum";"finstatement",#N/A,FALSE,"Fin_St"}</definedName>
    <definedName name="wrn.execsum." localSheetId="11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14" hidden="1">{"finana",#N/A,FALSE,"Fin"}</definedName>
    <definedName name="wrn.Finanalysis." localSheetId="15">{"finana",#N/A,FALSE,"Fin"}</definedName>
    <definedName name="wrn.Finanalysis." localSheetId="12" hidden="1">{"finana",#N/A,FALSE,"Fin"}</definedName>
    <definedName name="wrn.Finanalysis." localSheetId="11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localSheetId="15">{"sub1",#N/A,FALSE,"Subs";"pac1",#N/A,FALSE,"Packages";"rev1",#N/A,FALSE,"2. Revenues"}</definedName>
    <definedName name="wrn.magicrep." localSheetId="12" hidden="1">{"sub1",#N/A,FALSE,"Subs";"pac1",#N/A,FALSE,"Packages";"rev1",#N/A,FALSE,"2. Revenues"}</definedName>
    <definedName name="wrn.magicrep." localSheetId="11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localSheetId="15">{"volu1",#N/A,FALSE,"Volumes";"headcount",#N/A,FALSE,"Headcount";"emprpt",#N/A,FALSE,"Output"}</definedName>
    <definedName name="wrn.persrep." localSheetId="12" hidden="1">{"volu1",#N/A,FALSE,"Volumes";"headcount",#N/A,FALSE,"Headcount";"emprpt",#N/A,FALSE,"Output"}</definedName>
    <definedName name="wrn.persrep." localSheetId="11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localSheetId="15">{"PA1",#N/A,FALSE,"BORDMW";"pa2",#N/A,FALSE,"BORDMW";"PA3",#N/A,FALSE,"BORDMW";"PA4",#N/A,FALSE,"BORDMW"}</definedName>
    <definedName name="wrn.PrintAll." localSheetId="12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localSheetId="15">{"sales",#N/A,FALSE,"Sales";"sales existing",#N/A,FALSE,"Sales";"sales rd1",#N/A,FALSE,"Sales";"sales rd2",#N/A,FALSE,"Sales"}</definedName>
    <definedName name="wrn.sales." localSheetId="12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9">'Budget original'!$B$1:$AO$501</definedName>
    <definedName name="_xlnm.Print_Area" localSheetId="14">Capex!$A$1:$T$40</definedName>
    <definedName name="_xlnm.Print_Area" localSheetId="5">Print_AAD!$C$1:$S$353,Print_AAD!$V$402:$AO$498</definedName>
    <definedName name="_xlnm.Print_Area" localSheetId="4">Print_Mois!$C$1:$S$353,Print_Mois!$V$402:$AO$498</definedName>
    <definedName name="_xlnm.Print_Area" localSheetId="12">'Q3'!$C$1:$S$353,'Q3'!$V$402:$AO$498</definedName>
    <definedName name="_xlnm.Print_Area" localSheetId="10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48" i="3" l="1"/>
  <c r="AQ414" i="3"/>
  <c r="AQ437" i="3"/>
  <c r="AQ415" i="3" l="1"/>
  <c r="W118" i="3"/>
  <c r="W37" i="3"/>
  <c r="AQ458" i="3" l="1"/>
  <c r="AQ434" i="3" l="1"/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C18" i="26" l="1"/>
  <c r="C4" i="26"/>
  <c r="A443" i="3" l="1"/>
  <c r="D7" i="26" l="1"/>
  <c r="D6" i="26"/>
  <c r="D11" i="26" l="1"/>
  <c r="D10" i="26"/>
  <c r="D9" i="26"/>
  <c r="D8" i="26"/>
  <c r="D15" i="26"/>
  <c r="D13" i="26"/>
  <c r="D14" i="26"/>
  <c r="AR502" i="3"/>
  <c r="D12" i="26" l="1"/>
  <c r="D16" i="26" s="1"/>
  <c r="B1" i="15" l="1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M182" i="17"/>
  <c r="AH467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G1066" i="10" s="1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G1065" i="10" l="1"/>
  <c r="G1060" i="10"/>
  <c r="G1061" i="10"/>
  <c r="P41" i="5"/>
  <c r="G1063" i="10"/>
  <c r="N38" i="5"/>
  <c r="G1062" i="10"/>
  <c r="N42" i="5"/>
  <c r="G1064" i="10"/>
  <c r="O467" i="5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Z496" i="3" s="1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Z415" i="3" l="1"/>
  <c r="D97" i="3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7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1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7" i="26"/>
  <c r="F210" i="3"/>
  <c r="E298" i="3"/>
  <c r="F395" i="3"/>
  <c r="E395" i="3" s="1"/>
  <c r="F330" i="3"/>
  <c r="D44" i="19"/>
  <c r="D24" i="19"/>
  <c r="D28" i="19"/>
  <c r="D45" i="19"/>
  <c r="AI497" i="17"/>
  <c r="J6" i="28" l="1"/>
  <c r="P330" i="3"/>
  <c r="H11" i="26"/>
  <c r="K11" i="28"/>
  <c r="K6" i="28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9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D97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0" i="26" s="1"/>
  <c r="F186" i="3"/>
  <c r="E114" i="3"/>
  <c r="E118" i="3"/>
  <c r="K23" i="28" l="1"/>
  <c r="E153" i="3"/>
  <c r="E122" i="3"/>
  <c r="E155" i="3"/>
  <c r="E108" i="3"/>
  <c r="E135" i="3"/>
  <c r="P231" i="3"/>
  <c r="H10" i="26"/>
  <c r="P155" i="3"/>
  <c r="H9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25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25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29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E95" i="17"/>
  <c r="F122" i="17"/>
  <c r="Z411" i="17"/>
  <c r="Z415" i="17"/>
  <c r="D29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O112" i="17" l="1"/>
  <c r="E120" i="17"/>
  <c r="D21" i="26"/>
  <c r="P119" i="17"/>
  <c r="F21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27" i="26" s="1"/>
  <c r="P35" i="17"/>
  <c r="Z481" i="17"/>
  <c r="D27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24" i="26" s="1"/>
  <c r="F186" i="17"/>
  <c r="Y409" i="17"/>
  <c r="Z419" i="17"/>
  <c r="F74" i="17"/>
  <c r="D24" i="17"/>
  <c r="D27" i="17"/>
  <c r="D20" i="26" s="1"/>
  <c r="E13" i="17"/>
  <c r="F155" i="17"/>
  <c r="D108" i="17"/>
  <c r="D105" i="17"/>
  <c r="E105" i="17" s="1"/>
  <c r="E97" i="17"/>
  <c r="Q186" i="17"/>
  <c r="Q194" i="17"/>
  <c r="F24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0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E153" i="17"/>
  <c r="D23" i="26"/>
  <c r="E54" i="17"/>
  <c r="D22" i="26"/>
  <c r="P122" i="17"/>
  <c r="F23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26" i="26" l="1"/>
  <c r="D28" i="26"/>
  <c r="F28" i="26"/>
  <c r="F26" i="26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D30" i="26" l="1"/>
  <c r="F30" i="26"/>
  <c r="Y483" i="17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40" i="10"/>
  <c r="G1039" i="10"/>
  <c r="G1041" i="10"/>
  <c r="D53" i="3"/>
  <c r="G1038" i="10"/>
  <c r="G1037" i="10"/>
  <c r="G322" i="10"/>
  <c r="G723" i="10"/>
  <c r="G724" i="10"/>
  <c r="G501" i="10"/>
  <c r="G821" i="10"/>
  <c r="G574" i="10"/>
  <c r="G741" i="10"/>
  <c r="G366" i="10"/>
  <c r="G575" i="10"/>
  <c r="G37" i="10"/>
  <c r="G864" i="10"/>
  <c r="G365" i="10"/>
  <c r="G279" i="10"/>
  <c r="G742" i="10"/>
  <c r="G637" i="10"/>
  <c r="G610" i="10"/>
  <c r="G870" i="10"/>
  <c r="G893" i="10"/>
  <c r="G176" i="10"/>
  <c r="G368" i="10"/>
  <c r="G894" i="10"/>
  <c r="G36" i="10"/>
  <c r="G589" i="10"/>
  <c r="G399" i="10"/>
  <c r="G636" i="10"/>
  <c r="G292" i="10"/>
  <c r="G763" i="10"/>
  <c r="G638" i="10"/>
  <c r="G367" i="10"/>
  <c r="G400" i="10"/>
  <c r="G609" i="10"/>
  <c r="G588" i="10"/>
  <c r="G635" i="10"/>
  <c r="G880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172" i="10"/>
  <c r="G530" i="10"/>
  <c r="G433" i="10"/>
  <c r="G1010" i="10"/>
  <c r="G649" i="10"/>
  <c r="G643" i="10"/>
  <c r="G619" i="10"/>
  <c r="G510" i="10"/>
  <c r="G702" i="10"/>
  <c r="G484" i="10"/>
  <c r="G584" i="10"/>
  <c r="G1025" i="10"/>
  <c r="G326" i="10"/>
  <c r="G924" i="10"/>
  <c r="G229" i="10"/>
  <c r="G4" i="10"/>
  <c r="G12" i="10"/>
  <c r="G22" i="10"/>
  <c r="G31" i="10"/>
  <c r="G46" i="10"/>
  <c r="G54" i="10"/>
  <c r="G62" i="10"/>
  <c r="G72" i="10"/>
  <c r="G80" i="10"/>
  <c r="G91" i="10"/>
  <c r="G99" i="10"/>
  <c r="G110" i="10"/>
  <c r="G118" i="10"/>
  <c r="G126" i="10"/>
  <c r="G143" i="10"/>
  <c r="G236" i="10"/>
  <c r="G259" i="10"/>
  <c r="G331" i="10"/>
  <c r="G381" i="10"/>
  <c r="G461" i="10"/>
  <c r="G536" i="10"/>
  <c r="G578" i="10"/>
  <c r="G706" i="10"/>
  <c r="G751" i="10"/>
  <c r="G804" i="10"/>
  <c r="G848" i="10"/>
  <c r="G866" i="10"/>
  <c r="G711" i="10"/>
  <c r="G997" i="10"/>
  <c r="G205" i="10"/>
  <c r="G386" i="10"/>
  <c r="G432" i="10"/>
  <c r="G462" i="10"/>
  <c r="G489" i="10"/>
  <c r="G517" i="10"/>
  <c r="G533" i="10"/>
  <c r="G553" i="10"/>
  <c r="G581" i="10"/>
  <c r="G620" i="10"/>
  <c r="G642" i="10"/>
  <c r="G664" i="10"/>
  <c r="G680" i="10"/>
  <c r="G705" i="10"/>
  <c r="G964" i="10"/>
  <c r="G959" i="10"/>
  <c r="G992" i="10"/>
  <c r="G913" i="10"/>
  <c r="G953" i="10"/>
  <c r="G993" i="10"/>
  <c r="G978" i="10"/>
  <c r="G1053" i="10"/>
  <c r="G1028" i="10"/>
  <c r="G1033" i="10"/>
  <c r="G971" i="10"/>
  <c r="G982" i="10"/>
  <c r="G945" i="10"/>
  <c r="G522" i="10"/>
  <c r="G429" i="10"/>
  <c r="G532" i="10"/>
  <c r="G477" i="10"/>
  <c r="G685" i="10"/>
  <c r="G675" i="10"/>
  <c r="G631" i="10"/>
  <c r="G330" i="10"/>
  <c r="G704" i="10"/>
  <c r="G179" i="10"/>
  <c r="G721" i="10"/>
  <c r="G211" i="10"/>
  <c r="G273" i="10"/>
  <c r="G328" i="10"/>
  <c r="G627" i="10"/>
  <c r="G671" i="10"/>
  <c r="G5" i="10"/>
  <c r="G15" i="10"/>
  <c r="G23" i="10"/>
  <c r="G39" i="10"/>
  <c r="G47" i="10"/>
  <c r="G55" i="10"/>
  <c r="G63" i="10"/>
  <c r="G73" i="10"/>
  <c r="G81" i="10"/>
  <c r="G92" i="10"/>
  <c r="G101" i="10"/>
  <c r="G111" i="10"/>
  <c r="G119" i="10"/>
  <c r="G130" i="10"/>
  <c r="G144" i="10"/>
  <c r="G241" i="10"/>
  <c r="G260" i="10"/>
  <c r="G332" i="10"/>
  <c r="G385" i="10"/>
  <c r="G465" i="10"/>
  <c r="G538" i="10"/>
  <c r="G580" i="10"/>
  <c r="G726" i="10"/>
  <c r="G762" i="10"/>
  <c r="G807" i="10"/>
  <c r="G867" i="10"/>
  <c r="G789" i="10"/>
  <c r="G998" i="10"/>
  <c r="G336" i="10"/>
  <c r="G398" i="10"/>
  <c r="G434" i="10"/>
  <c r="G466" i="10"/>
  <c r="G491" i="10"/>
  <c r="G519" i="10"/>
  <c r="G535" i="10"/>
  <c r="G557" i="10"/>
  <c r="G585" i="10"/>
  <c r="G622" i="10"/>
  <c r="G644" i="10"/>
  <c r="G666" i="10"/>
  <c r="G682" i="10"/>
  <c r="G707" i="10"/>
  <c r="G995" i="10"/>
  <c r="G222" i="10"/>
  <c r="G720" i="10"/>
  <c r="G1056" i="10"/>
  <c r="G974" i="10"/>
  <c r="G209" i="10"/>
  <c r="G991" i="10"/>
  <c r="G938" i="10"/>
  <c r="G830" i="10"/>
  <c r="G1045" i="10"/>
  <c r="G1030" i="10"/>
  <c r="G719" i="10"/>
  <c r="G1034" i="10"/>
  <c r="G150" i="10"/>
  <c r="G952" i="10"/>
  <c r="G918" i="10"/>
  <c r="G844" i="10"/>
  <c r="G1016" i="10"/>
  <c r="G258" i="10"/>
  <c r="G914" i="10"/>
  <c r="G213" i="10"/>
  <c r="G245" i="10"/>
  <c r="G937" i="10"/>
  <c r="G520" i="10"/>
  <c r="G516" i="10"/>
  <c r="G421" i="10"/>
  <c r="G473" i="10"/>
  <c r="G613" i="10"/>
  <c r="G576" i="10"/>
  <c r="G1002" i="10"/>
  <c r="G1003" i="10"/>
  <c r="G289" i="10"/>
  <c r="G621" i="10"/>
  <c r="G722" i="10"/>
  <c r="G681" i="10"/>
  <c r="G498" i="10"/>
  <c r="G294" i="10"/>
  <c r="G309" i="10"/>
  <c r="G181" i="10"/>
  <c r="G6" i="10"/>
  <c r="G16" i="10"/>
  <c r="G24" i="10"/>
  <c r="G40" i="10"/>
  <c r="G48" i="10"/>
  <c r="G56" i="10"/>
  <c r="G64" i="10"/>
  <c r="G74" i="10"/>
  <c r="G83" i="10"/>
  <c r="G93" i="10"/>
  <c r="G102" i="10"/>
  <c r="G112" i="10"/>
  <c r="G120" i="10"/>
  <c r="G131" i="10"/>
  <c r="G145" i="10"/>
  <c r="G252" i="10"/>
  <c r="G276" i="10"/>
  <c r="G335" i="10"/>
  <c r="G397" i="10"/>
  <c r="G471" i="10"/>
  <c r="G542" i="10"/>
  <c r="G605" i="10"/>
  <c r="G735" i="10"/>
  <c r="G768" i="10"/>
  <c r="G851" i="10"/>
  <c r="G878" i="10"/>
  <c r="G925" i="10"/>
  <c r="G1047" i="10"/>
  <c r="G354" i="10"/>
  <c r="G408" i="10"/>
  <c r="G436" i="10"/>
  <c r="G472" i="10"/>
  <c r="G495" i="10"/>
  <c r="G521" i="10"/>
  <c r="G537" i="10"/>
  <c r="G559" i="10"/>
  <c r="G606" i="10"/>
  <c r="G624" i="10"/>
  <c r="G646" i="10"/>
  <c r="G668" i="10"/>
  <c r="G684" i="10"/>
  <c r="G788" i="10"/>
  <c r="G1057" i="10"/>
  <c r="G989" i="10"/>
  <c r="G858" i="10"/>
  <c r="G976" i="10"/>
  <c r="G956" i="10"/>
  <c r="G883" i="10"/>
  <c r="G249" i="10"/>
  <c r="G988" i="10"/>
  <c r="G987" i="10"/>
  <c r="G210" i="10"/>
  <c r="G846" i="10"/>
  <c r="G985" i="10"/>
  <c r="G1035" i="10"/>
  <c r="G1014" i="10"/>
  <c r="G216" i="10"/>
  <c r="G940" i="10"/>
  <c r="G214" i="10"/>
  <c r="G248" i="10"/>
  <c r="G910" i="10"/>
  <c r="G162" i="10"/>
  <c r="G219" i="10"/>
  <c r="G524" i="10"/>
  <c r="G202" i="10"/>
  <c r="G435" i="10"/>
  <c r="G204" i="10"/>
  <c r="G611" i="10"/>
  <c r="G1009" i="10"/>
  <c r="G679" i="10"/>
  <c r="G304" i="10"/>
  <c r="G667" i="10"/>
  <c r="G494" i="10"/>
  <c r="G665" i="10"/>
  <c r="G274" i="10"/>
  <c r="G488" i="10"/>
  <c r="G562" i="10"/>
  <c r="G297" i="10"/>
  <c r="G669" i="10"/>
  <c r="G7" i="10"/>
  <c r="G17" i="10"/>
  <c r="G25" i="10"/>
  <c r="G41" i="10"/>
  <c r="G49" i="10"/>
  <c r="G57" i="10"/>
  <c r="G65" i="10"/>
  <c r="G75" i="10"/>
  <c r="G84" i="10"/>
  <c r="G94" i="10"/>
  <c r="G103" i="10"/>
  <c r="G113" i="10"/>
  <c r="G121" i="10"/>
  <c r="G137" i="10"/>
  <c r="G146" i="10"/>
  <c r="G253" i="10"/>
  <c r="G287" i="10"/>
  <c r="G353" i="10"/>
  <c r="G407" i="10"/>
  <c r="G483" i="10"/>
  <c r="G544" i="10"/>
  <c r="G633" i="10"/>
  <c r="G737" i="10"/>
  <c r="G770" i="10"/>
  <c r="G815" i="10"/>
  <c r="G892" i="10"/>
  <c r="G926" i="10"/>
  <c r="G1026" i="10"/>
  <c r="G358" i="10"/>
  <c r="G412" i="10"/>
  <c r="G442" i="10"/>
  <c r="G474" i="10"/>
  <c r="G497" i="10"/>
  <c r="G523" i="10"/>
  <c r="G539" i="10"/>
  <c r="G561" i="10"/>
  <c r="G608" i="10"/>
  <c r="G626" i="10"/>
  <c r="G648" i="10"/>
  <c r="G670" i="10"/>
  <c r="G686" i="10"/>
  <c r="G942" i="10"/>
  <c r="G217" i="10"/>
  <c r="G761" i="10"/>
  <c r="G193" i="10"/>
  <c r="G1036" i="10"/>
  <c r="G962" i="10"/>
  <c r="G1000" i="10"/>
  <c r="G1017" i="10"/>
  <c r="G760" i="10"/>
  <c r="G941" i="10"/>
  <c r="G1055" i="10"/>
  <c r="G955" i="10"/>
  <c r="G710" i="10"/>
  <c r="G886" i="10"/>
  <c r="G251" i="10"/>
  <c r="G717" i="10"/>
  <c r="G228" i="10"/>
  <c r="G972" i="10"/>
  <c r="G887" i="10"/>
  <c r="G812" i="10"/>
  <c r="G899" i="10"/>
  <c r="G939" i="10"/>
  <c r="G885" i="10"/>
  <c r="G135" i="10"/>
  <c r="G879" i="10"/>
  <c r="G271" i="10"/>
  <c r="G191" i="10"/>
  <c r="G447" i="10"/>
  <c r="G518" i="10"/>
  <c r="G177" i="10"/>
  <c r="G283" i="10"/>
  <c r="G288" i="10"/>
  <c r="G683" i="10"/>
  <c r="G607" i="10"/>
  <c r="G617" i="10"/>
  <c r="G291" i="10"/>
  <c r="G152" i="10"/>
  <c r="G153" i="10"/>
  <c r="G310" i="10"/>
  <c r="G625" i="10"/>
  <c r="G235" i="10"/>
  <c r="G295" i="10"/>
  <c r="G8" i="10"/>
  <c r="G18" i="10"/>
  <c r="G26" i="10"/>
  <c r="G42" i="10"/>
  <c r="G50" i="10"/>
  <c r="G58" i="10"/>
  <c r="G66" i="10"/>
  <c r="G76" i="10"/>
  <c r="G85" i="10"/>
  <c r="G95" i="10"/>
  <c r="G104" i="10"/>
  <c r="G114" i="10"/>
  <c r="G122" i="10"/>
  <c r="G139" i="10"/>
  <c r="G147" i="10"/>
  <c r="G451" i="10"/>
  <c r="G457" i="10"/>
  <c r="G700" i="10"/>
  <c r="G206" i="10"/>
  <c r="G1012" i="10"/>
  <c r="G777" i="10"/>
  <c r="G1011" i="10"/>
  <c r="G623" i="10"/>
  <c r="G546" i="10"/>
  <c r="G673" i="10"/>
  <c r="G290" i="10"/>
  <c r="G293" i="10"/>
  <c r="G556" i="10"/>
  <c r="G302" i="10"/>
  <c r="G324" i="10"/>
  <c r="G2" i="10"/>
  <c r="G10" i="10"/>
  <c r="G20" i="10"/>
  <c r="G29" i="10"/>
  <c r="G44" i="10"/>
  <c r="G52" i="10"/>
  <c r="G60" i="10"/>
  <c r="G68" i="10"/>
  <c r="G78" i="10"/>
  <c r="G89" i="10"/>
  <c r="G97" i="10"/>
  <c r="G108" i="10"/>
  <c r="G116" i="10"/>
  <c r="G124" i="10"/>
  <c r="G141" i="10"/>
  <c r="G227" i="10"/>
  <c r="G256" i="10"/>
  <c r="G320" i="10"/>
  <c r="G377" i="10"/>
  <c r="G427" i="10"/>
  <c r="G502" i="10"/>
  <c r="G560" i="10"/>
  <c r="G677" i="10"/>
  <c r="G748" i="10"/>
  <c r="G796" i="10"/>
  <c r="G833" i="10"/>
  <c r="G916" i="10"/>
  <c r="G929" i="10"/>
  <c r="G201" i="10"/>
  <c r="G380" i="10"/>
  <c r="G428" i="10"/>
  <c r="G452" i="10"/>
  <c r="G485" i="10"/>
  <c r="G511" i="10"/>
  <c r="G529" i="10"/>
  <c r="G547" i="10"/>
  <c r="G577" i="10"/>
  <c r="G616" i="10"/>
  <c r="G632" i="10"/>
  <c r="G654" i="10"/>
  <c r="G676" i="10"/>
  <c r="G701" i="10"/>
  <c r="G784" i="10"/>
  <c r="G912" i="10"/>
  <c r="G1054" i="10"/>
  <c r="G849" i="10"/>
  <c r="G888" i="10"/>
  <c r="G986" i="10"/>
  <c r="G981" i="10"/>
  <c r="G977" i="10"/>
  <c r="G163" i="10"/>
  <c r="G272" i="10"/>
  <c r="G975" i="10"/>
  <c r="G265" i="10"/>
  <c r="G1029" i="10"/>
  <c r="G980" i="10"/>
  <c r="G185" i="10"/>
  <c r="G718" i="10"/>
  <c r="G275" i="10"/>
  <c r="G818" i="10"/>
  <c r="G107" i="10"/>
  <c r="G187" i="10"/>
  <c r="G298" i="10"/>
  <c r="G970" i="10"/>
  <c r="G965" i="10"/>
  <c r="G218" i="10"/>
  <c r="G946" i="10"/>
  <c r="G178" i="10"/>
  <c r="G225" i="10"/>
  <c r="G431" i="10"/>
  <c r="G661" i="10"/>
  <c r="G208" i="10"/>
  <c r="G3" i="10"/>
  <c r="G45" i="10"/>
  <c r="G79" i="10"/>
  <c r="G117" i="10"/>
  <c r="G255" i="10"/>
  <c r="G411" i="10"/>
  <c r="G566" i="10"/>
  <c r="G779" i="10"/>
  <c r="G898" i="10"/>
  <c r="G203" i="10"/>
  <c r="G450" i="10"/>
  <c r="G525" i="10"/>
  <c r="G579" i="10"/>
  <c r="G652" i="10"/>
  <c r="G785" i="10"/>
  <c r="G1046" i="10"/>
  <c r="G994" i="10"/>
  <c r="G957" i="10"/>
  <c r="G950" i="10"/>
  <c r="G1021" i="10"/>
  <c r="G1042" i="10"/>
  <c r="G88" i="10"/>
  <c r="G296" i="10"/>
  <c r="G186" i="10"/>
  <c r="G944" i="10"/>
  <c r="G233" i="10"/>
  <c r="G714" i="10"/>
  <c r="G881" i="10"/>
  <c r="G14" i="10"/>
  <c r="G902" i="10"/>
  <c r="G269" i="10"/>
  <c r="G286" i="10"/>
  <c r="G299" i="10"/>
  <c r="G780" i="10"/>
  <c r="G837" i="10"/>
  <c r="G402" i="10"/>
  <c r="G921" i="10"/>
  <c r="G270" i="10"/>
  <c r="G806" i="10"/>
  <c r="G492" i="10"/>
  <c r="G597" i="10"/>
  <c r="G868" i="10"/>
  <c r="G375" i="10"/>
  <c r="G376" i="10"/>
  <c r="G476" i="10"/>
  <c r="G505" i="10"/>
  <c r="G859" i="10"/>
  <c r="G791" i="10"/>
  <c r="G243" i="10"/>
  <c r="G528" i="10"/>
  <c r="G651" i="10"/>
  <c r="G323" i="10"/>
  <c r="G615" i="10"/>
  <c r="G9" i="10"/>
  <c r="G51" i="10"/>
  <c r="G86" i="10"/>
  <c r="G123" i="10"/>
  <c r="G257" i="10"/>
  <c r="G425" i="10"/>
  <c r="G645" i="10"/>
  <c r="G802" i="10"/>
  <c r="G904" i="10"/>
  <c r="G374" i="10"/>
  <c r="G458" i="10"/>
  <c r="G527" i="10"/>
  <c r="G612" i="10"/>
  <c r="G662" i="10"/>
  <c r="G787" i="10"/>
  <c r="G136" i="10"/>
  <c r="G1052" i="10"/>
  <c r="G263" i="10"/>
  <c r="G1049" i="10"/>
  <c r="G901" i="10"/>
  <c r="G1008" i="10"/>
  <c r="G884" i="10"/>
  <c r="G247" i="10"/>
  <c r="G160" i="10"/>
  <c r="G196" i="10"/>
  <c r="G70" i="10"/>
  <c r="G198" i="10"/>
  <c r="G159" i="10"/>
  <c r="G319" i="10"/>
  <c r="G167" i="10"/>
  <c r="G920" i="10"/>
  <c r="G782" i="10"/>
  <c r="G775" i="10"/>
  <c r="G797" i="10"/>
  <c r="G838" i="10"/>
  <c r="G409" i="10"/>
  <c r="G688" i="10"/>
  <c r="G303" i="10"/>
  <c r="G470" i="10"/>
  <c r="G713" i="10"/>
  <c r="G370" i="10"/>
  <c r="G387" i="10"/>
  <c r="G388" i="10"/>
  <c r="G828" i="10"/>
  <c r="G593" i="10"/>
  <c r="G656" i="10"/>
  <c r="G438" i="10"/>
  <c r="G440" i="10"/>
  <c r="G1020" i="10"/>
  <c r="G1015" i="10"/>
  <c r="G911" i="10"/>
  <c r="G882" i="10"/>
  <c r="G13" i="10"/>
  <c r="G810" i="10"/>
  <c r="G841" i="10"/>
  <c r="G769" i="10"/>
  <c r="G306" i="10"/>
  <c r="G493" i="10"/>
  <c r="G583" i="10"/>
  <c r="G454" i="10"/>
  <c r="G33" i="10"/>
  <c r="G513" i="10"/>
  <c r="G1024" i="10"/>
  <c r="G197" i="10"/>
  <c r="G915" i="10"/>
  <c r="G839" i="10"/>
  <c r="G738" i="10"/>
  <c r="G468" i="10"/>
  <c r="G655" i="10"/>
  <c r="G936" i="10"/>
  <c r="G783" i="10"/>
  <c r="G469" i="10"/>
  <c r="G158" i="10"/>
  <c r="G663" i="10"/>
  <c r="G226" i="10"/>
  <c r="G240" i="10"/>
  <c r="G11" i="10"/>
  <c r="G53" i="10"/>
  <c r="G90" i="10"/>
  <c r="G125" i="10"/>
  <c r="G314" i="10"/>
  <c r="G449" i="10"/>
  <c r="G653" i="10"/>
  <c r="G378" i="10"/>
  <c r="G478" i="10"/>
  <c r="G531" i="10"/>
  <c r="G614" i="10"/>
  <c r="G672" i="10"/>
  <c r="G829" i="10"/>
  <c r="G266" i="10"/>
  <c r="G758" i="10"/>
  <c r="G855" i="10"/>
  <c r="G1044" i="10"/>
  <c r="G900" i="10"/>
  <c r="G967" i="10"/>
  <c r="G890" i="10"/>
  <c r="G1005" i="10"/>
  <c r="G896" i="10"/>
  <c r="G819" i="10"/>
  <c r="G189" i="10"/>
  <c r="G843" i="10"/>
  <c r="G182" i="10"/>
  <c r="G194" i="10"/>
  <c r="G764" i="10"/>
  <c r="G453" i="10"/>
  <c r="G362" i="10"/>
  <c r="G437" i="10"/>
  <c r="G238" i="10"/>
  <c r="G132" i="10"/>
  <c r="G170" i="10"/>
  <c r="G840" i="10"/>
  <c r="G312" i="10"/>
  <c r="G709" i="10"/>
  <c r="G369" i="10"/>
  <c r="G798" i="10"/>
  <c r="G572" i="10"/>
  <c r="G168" i="10"/>
  <c r="G149" i="10"/>
  <c r="G285" i="10"/>
  <c r="G242" i="10"/>
  <c r="G555" i="10"/>
  <c r="G827" i="10"/>
  <c r="G200" i="10"/>
  <c r="G212" i="10"/>
  <c r="G534" i="10"/>
  <c r="G943" i="10"/>
  <c r="G19" i="10"/>
  <c r="G59" i="10"/>
  <c r="G96" i="10"/>
  <c r="G140" i="10"/>
  <c r="G316" i="10"/>
  <c r="G486" i="10"/>
  <c r="G692" i="10"/>
  <c r="G831" i="10"/>
  <c r="G927" i="10"/>
  <c r="G382" i="10"/>
  <c r="G482" i="10"/>
  <c r="G541" i="10"/>
  <c r="G618" i="10"/>
  <c r="G674" i="10"/>
  <c r="G199" i="10"/>
  <c r="G1031" i="10"/>
  <c r="G948" i="10"/>
  <c r="G759" i="10"/>
  <c r="G221" i="10"/>
  <c r="G148" i="10"/>
  <c r="G973" i="10"/>
  <c r="G814" i="10"/>
  <c r="G949" i="10"/>
  <c r="G891" i="10"/>
  <c r="G826" i="10"/>
  <c r="G71" i="10"/>
  <c r="G1050" i="10"/>
  <c r="G917" i="10"/>
  <c r="G897" i="10"/>
  <c r="G903" i="10"/>
  <c r="G164" i="10"/>
  <c r="G935" i="10"/>
  <c r="G842" i="10"/>
  <c r="G321" i="10"/>
  <c r="G281" i="10"/>
  <c r="G410" i="10"/>
  <c r="G223" i="10"/>
  <c r="G313" i="10"/>
  <c r="G545" i="10"/>
  <c r="G28" i="10"/>
  <c r="G746" i="10"/>
  <c r="G32" i="10"/>
  <c r="G509" i="10"/>
  <c r="G127" i="10"/>
  <c r="G512" i="10"/>
  <c r="G565" i="10"/>
  <c r="G548" i="10"/>
  <c r="G573" i="10"/>
  <c r="G629" i="10"/>
  <c r="G647" i="10"/>
  <c r="G27" i="10"/>
  <c r="G105" i="10"/>
  <c r="G357" i="10"/>
  <c r="G747" i="10"/>
  <c r="G996" i="10"/>
  <c r="G499" i="10"/>
  <c r="G630" i="10"/>
  <c r="G305" i="10"/>
  <c r="G188" i="10"/>
  <c r="G757" i="10"/>
  <c r="G1032" i="10"/>
  <c r="G133" i="10"/>
  <c r="G169" i="10"/>
  <c r="G835" i="10"/>
  <c r="G811" i="10"/>
  <c r="G596" i="10"/>
  <c r="G34" i="10"/>
  <c r="G834" i="10"/>
  <c r="G687" i="10"/>
  <c r="G743" i="10"/>
  <c r="G905" i="10"/>
  <c r="G300" i="10"/>
  <c r="G496" i="10"/>
  <c r="G325" i="10"/>
  <c r="G106" i="10"/>
  <c r="G21" i="10"/>
  <c r="G61" i="10"/>
  <c r="G98" i="10"/>
  <c r="G142" i="10"/>
  <c r="G329" i="10"/>
  <c r="G490" i="10"/>
  <c r="G745" i="10"/>
  <c r="G928" i="10"/>
  <c r="G422" i="10"/>
  <c r="G487" i="10"/>
  <c r="G543" i="10"/>
  <c r="G628" i="10"/>
  <c r="G678" i="10"/>
  <c r="G979" i="10"/>
  <c r="G889" i="10"/>
  <c r="G969" i="10"/>
  <c r="G195" i="10"/>
  <c r="G264" i="10"/>
  <c r="G786" i="10"/>
  <c r="G262" i="10"/>
  <c r="G207" i="10"/>
  <c r="G161" i="10"/>
  <c r="G836" i="10"/>
  <c r="G1013" i="10"/>
  <c r="G908" i="10"/>
  <c r="G215" i="10"/>
  <c r="G919" i="10"/>
  <c r="G232" i="10"/>
  <c r="G909" i="10"/>
  <c r="G781" i="10"/>
  <c r="G792" i="10"/>
  <c r="G800" i="10"/>
  <c r="G284" i="10"/>
  <c r="G311" i="10"/>
  <c r="G479" i="10"/>
  <c r="G231" i="10"/>
  <c r="G359" i="10"/>
  <c r="G708" i="10"/>
  <c r="G594" i="10"/>
  <c r="G406" i="10"/>
  <c r="G128" i="10"/>
  <c r="G752" i="10"/>
  <c r="G100" i="10"/>
  <c r="G475" i="10"/>
  <c r="G504" i="10"/>
  <c r="G564" i="10"/>
  <c r="G690" i="10"/>
  <c r="G540" i="10"/>
  <c r="G67" i="10"/>
  <c r="G154" i="10"/>
  <c r="G514" i="10"/>
  <c r="G426" i="10"/>
  <c r="G551" i="10"/>
  <c r="G691" i="10"/>
  <c r="G1022" i="10"/>
  <c r="G983" i="10"/>
  <c r="G1051" i="10"/>
  <c r="G716" i="10"/>
  <c r="G1006" i="10"/>
  <c r="G795" i="10"/>
  <c r="G234" i="10"/>
  <c r="G129" i="10"/>
  <c r="G968" i="10"/>
  <c r="G1007" i="10"/>
  <c r="G765" i="10"/>
  <c r="G689" i="10"/>
  <c r="G441" i="10"/>
  <c r="G481" i="10"/>
  <c r="G327" i="10"/>
  <c r="G999" i="10"/>
  <c r="G30" i="10"/>
  <c r="G69" i="10"/>
  <c r="G109" i="10"/>
  <c r="G230" i="10"/>
  <c r="G373" i="10"/>
  <c r="G550" i="10"/>
  <c r="G749" i="10"/>
  <c r="G857" i="10"/>
  <c r="G190" i="10"/>
  <c r="G430" i="10"/>
  <c r="G503" i="10"/>
  <c r="G563" i="10"/>
  <c r="G634" i="10"/>
  <c r="G693" i="10"/>
  <c r="G984" i="10"/>
  <c r="G963" i="10"/>
  <c r="G960" i="10"/>
  <c r="G958" i="10"/>
  <c r="G966" i="10"/>
  <c r="G87" i="10"/>
  <c r="G1027" i="10"/>
  <c r="G947" i="10"/>
  <c r="G1048" i="10"/>
  <c r="G951" i="10"/>
  <c r="G184" i="10"/>
  <c r="G845" i="10"/>
  <c r="G134" i="10"/>
  <c r="G220" i="10"/>
  <c r="G865" i="10"/>
  <c r="G1004" i="10"/>
  <c r="G267" i="10"/>
  <c r="G930" i="10"/>
  <c r="G832" i="10"/>
  <c r="G155" i="10"/>
  <c r="G401" i="10"/>
  <c r="G480" i="10"/>
  <c r="G237" i="10"/>
  <c r="G360" i="10"/>
  <c r="G239" i="10"/>
  <c r="G873" i="10"/>
  <c r="G582" i="10"/>
  <c r="G138" i="10"/>
  <c r="G507" i="10"/>
  <c r="G712" i="10"/>
  <c r="G809" i="10"/>
  <c r="G823" i="10"/>
  <c r="G790" i="10"/>
  <c r="G439" i="10"/>
  <c r="G526" i="10"/>
  <c r="G641" i="10"/>
  <c r="G558" i="10"/>
  <c r="G1023" i="10"/>
  <c r="G43" i="10"/>
  <c r="G77" i="10"/>
  <c r="G115" i="10"/>
  <c r="G254" i="10"/>
  <c r="G379" i="10"/>
  <c r="G552" i="10"/>
  <c r="G778" i="10"/>
  <c r="G192" i="10"/>
  <c r="G448" i="10"/>
  <c r="G515" i="10"/>
  <c r="G567" i="10"/>
  <c r="G650" i="10"/>
  <c r="G703" i="10"/>
  <c r="G961" i="10"/>
  <c r="G171" i="10"/>
  <c r="G1043" i="10"/>
  <c r="G1019" i="10"/>
  <c r="G246" i="10"/>
  <c r="G856" i="10"/>
  <c r="G1018" i="10"/>
  <c r="G715" i="10"/>
  <c r="G224" i="10"/>
  <c r="G180" i="10"/>
  <c r="G268" i="10"/>
  <c r="G595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G165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J17" i="3" l="1"/>
  <c r="L113" i="3"/>
  <c r="N113" i="3" s="1"/>
  <c r="L32" i="3"/>
  <c r="E22" i="2"/>
  <c r="L112" i="3"/>
  <c r="N112" i="3" s="1"/>
  <c r="L116" i="3"/>
  <c r="N116" i="3" s="1"/>
  <c r="L178" i="3"/>
  <c r="N178" i="3" s="1"/>
  <c r="L172" i="3"/>
  <c r="L181" i="3"/>
  <c r="L302" i="3"/>
  <c r="N302" i="3" s="1"/>
  <c r="L31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L77" i="3"/>
  <c r="AF473" i="3" s="1"/>
  <c r="L40" i="3"/>
  <c r="J301" i="17"/>
  <c r="M301" i="17" s="1"/>
  <c r="J301" i="3"/>
  <c r="M301" i="3" s="1"/>
  <c r="L217" i="3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AF474" i="3" s="1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AF476" i="3" s="1"/>
  <c r="L130" i="17"/>
  <c r="N130" i="17" s="1"/>
  <c r="L130" i="3"/>
  <c r="N130" i="3" s="1"/>
  <c r="L118" i="17"/>
  <c r="N118" i="17" s="1"/>
  <c r="L67" i="3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AF472" i="3" s="1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R94" i="17" s="1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L157" i="3"/>
  <c r="AF475" i="3" s="1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L23" i="3"/>
  <c r="L21" i="3"/>
  <c r="L22" i="3"/>
  <c r="L19" i="3"/>
  <c r="L17" i="3"/>
  <c r="L15" i="3"/>
  <c r="J6" i="3"/>
  <c r="J244" i="3"/>
  <c r="J247" i="3"/>
  <c r="AF414" i="3" l="1"/>
  <c r="L105" i="3"/>
  <c r="N75" i="3"/>
  <c r="AF471" i="3"/>
  <c r="AF437" i="3"/>
  <c r="AF445" i="3"/>
  <c r="AF442" i="3"/>
  <c r="AF439" i="3"/>
  <c r="AH439" i="3" s="1"/>
  <c r="AI439" i="3" s="1"/>
  <c r="AF446" i="3"/>
  <c r="AF444" i="3"/>
  <c r="AH444" i="3" s="1"/>
  <c r="AI444" i="3" s="1"/>
  <c r="N217" i="3"/>
  <c r="AF440" i="3"/>
  <c r="AH440" i="3" s="1"/>
  <c r="AF443" i="3"/>
  <c r="AH443" i="3" s="1"/>
  <c r="AI443" i="3" s="1"/>
  <c r="N68" i="3"/>
  <c r="AF448" i="3"/>
  <c r="AF441" i="3"/>
  <c r="N67" i="3"/>
  <c r="AF447" i="3"/>
  <c r="AF438" i="3"/>
  <c r="AH438" i="3" s="1"/>
  <c r="AI438" i="3" s="1"/>
  <c r="N21" i="3"/>
  <c r="L24" i="3"/>
  <c r="Q13" i="3"/>
  <c r="M95" i="17"/>
  <c r="R95" i="17"/>
  <c r="N95" i="17"/>
  <c r="S95" i="17"/>
  <c r="M295" i="17"/>
  <c r="L179" i="3"/>
  <c r="N179" i="3" s="1"/>
  <c r="N75" i="17"/>
  <c r="N83" i="17" s="1"/>
  <c r="S75" i="17"/>
  <c r="N59" i="3"/>
  <c r="M94" i="3"/>
  <c r="J97" i="3"/>
  <c r="AH491" i="17"/>
  <c r="AI491" i="17" s="1"/>
  <c r="AH491" i="3"/>
  <c r="AI491" i="3" s="1"/>
  <c r="E66" i="19"/>
  <c r="H15" i="26"/>
  <c r="AH469" i="3"/>
  <c r="AI469" i="3" s="1"/>
  <c r="L97" i="3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O31" i="3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H474" i="3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H475" i="3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H476" i="3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29" i="3"/>
  <c r="AF430" i="3"/>
  <c r="AF428" i="3"/>
  <c r="AF431" i="3"/>
  <c r="AF411" i="3"/>
  <c r="AF435" i="3"/>
  <c r="S71" i="3"/>
  <c r="AH447" i="3"/>
  <c r="AI447" i="3" s="1"/>
  <c r="AF434" i="3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19" i="3"/>
  <c r="S17" i="3"/>
  <c r="K17" i="3"/>
  <c r="S15" i="3"/>
  <c r="L13" i="3"/>
  <c r="K6" i="3"/>
  <c r="J13" i="3"/>
  <c r="C4" i="19" s="1"/>
  <c r="R6" i="3"/>
  <c r="S6" i="3"/>
  <c r="J185" i="3"/>
  <c r="R185" i="3" s="1"/>
  <c r="S362" i="3"/>
  <c r="S13" i="3" l="1"/>
  <c r="R13" i="3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N97" i="17"/>
  <c r="N98" i="17" s="1"/>
  <c r="R97" i="17"/>
  <c r="R98" i="17" s="1"/>
  <c r="M97" i="17"/>
  <c r="M98" i="17" s="1"/>
  <c r="R13" i="17"/>
  <c r="C5" i="19"/>
  <c r="L27" i="3"/>
  <c r="C29" i="26"/>
  <c r="G29" i="26" s="1"/>
  <c r="W159" i="3"/>
  <c r="C7" i="26"/>
  <c r="C21" i="26"/>
  <c r="AH478" i="3"/>
  <c r="AI478" i="3" s="1"/>
  <c r="C15" i="26"/>
  <c r="AI495" i="3"/>
  <c r="F15" i="26"/>
  <c r="AH463" i="3"/>
  <c r="Y417" i="3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6" i="26" s="1"/>
  <c r="E4" i="19"/>
  <c r="E14" i="19" s="1"/>
  <c r="AK416" i="3"/>
  <c r="Y409" i="3"/>
  <c r="Z419" i="3"/>
  <c r="D70" i="19" s="1"/>
  <c r="AH434" i="3"/>
  <c r="AI434" i="3" s="1"/>
  <c r="AH464" i="3"/>
  <c r="Q74" i="3"/>
  <c r="AL452" i="3"/>
  <c r="E65" i="19" s="1"/>
  <c r="AL433" i="3"/>
  <c r="F27" i="3"/>
  <c r="E13" i="3"/>
  <c r="D27" i="3"/>
  <c r="F6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J16" i="28"/>
  <c r="L16" i="28" s="1"/>
  <c r="J26" i="28"/>
  <c r="L26" i="28" s="1"/>
  <c r="M26" i="28" s="1"/>
  <c r="L15" i="28"/>
  <c r="M15" i="28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AH435" i="3"/>
  <c r="AI435" i="3" s="1"/>
  <c r="N83" i="3"/>
  <c r="G47" i="19"/>
  <c r="I47" i="19" s="1"/>
  <c r="N72" i="3"/>
  <c r="N54" i="3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F11" i="19"/>
  <c r="H11" i="19" s="1"/>
  <c r="AN450" i="3"/>
  <c r="AO450" i="3" s="1"/>
  <c r="AF466" i="3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2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3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4" i="3"/>
  <c r="S14" i="3"/>
  <c r="J24" i="3"/>
  <c r="J27" i="3"/>
  <c r="K22" i="3"/>
  <c r="R22" i="3" s="1"/>
  <c r="K23" i="3"/>
  <c r="R23" i="3" s="1"/>
  <c r="K21" i="3"/>
  <c r="R21" i="3" s="1"/>
  <c r="K13" i="3"/>
  <c r="C65" i="19" l="1"/>
  <c r="F65" i="19" s="1"/>
  <c r="H65" i="19" s="1"/>
  <c r="G5" i="19"/>
  <c r="I5" i="19" s="1"/>
  <c r="E29" i="26"/>
  <c r="G23" i="26"/>
  <c r="E23" i="26"/>
  <c r="N194" i="17"/>
  <c r="N195" i="17" s="1"/>
  <c r="C24" i="26"/>
  <c r="G22" i="26"/>
  <c r="E22" i="26"/>
  <c r="M27" i="17"/>
  <c r="M28" i="17" s="1"/>
  <c r="C20" i="26"/>
  <c r="W82" i="3"/>
  <c r="C6" i="26"/>
  <c r="G21" i="26"/>
  <c r="E21" i="26"/>
  <c r="I7" i="26"/>
  <c r="E7" i="26"/>
  <c r="G7" i="26"/>
  <c r="D14" i="19"/>
  <c r="E41" i="3"/>
  <c r="F8" i="26"/>
  <c r="F12" i="26" s="1"/>
  <c r="P72" i="3"/>
  <c r="H8" i="26"/>
  <c r="H12" i="26" s="1"/>
  <c r="C8" i="26"/>
  <c r="C10" i="26"/>
  <c r="X194" i="3"/>
  <c r="E67" i="19"/>
  <c r="H13" i="26"/>
  <c r="D67" i="19"/>
  <c r="F13" i="26"/>
  <c r="G15" i="26"/>
  <c r="I15" i="26"/>
  <c r="E15" i="26"/>
  <c r="AF481" i="3"/>
  <c r="C13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4" i="26" s="1"/>
  <c r="P54" i="3"/>
  <c r="AL407" i="3"/>
  <c r="Q85" i="3"/>
  <c r="E12" i="19"/>
  <c r="E10" i="19"/>
  <c r="AL468" i="3"/>
  <c r="H14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25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28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X314" i="3" s="1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F14" i="19" l="1"/>
  <c r="H14" i="19" s="1"/>
  <c r="E20" i="26"/>
  <c r="G20" i="26"/>
  <c r="I6" i="26"/>
  <c r="E6" i="26"/>
  <c r="G6" i="26"/>
  <c r="G24" i="26"/>
  <c r="E24" i="26"/>
  <c r="E25" i="26"/>
  <c r="G25" i="26"/>
  <c r="C26" i="26"/>
  <c r="AH468" i="17"/>
  <c r="AI468" i="17" s="1"/>
  <c r="G8" i="26"/>
  <c r="C11" i="26"/>
  <c r="N108" i="3"/>
  <c r="N109" i="3" s="1"/>
  <c r="C9" i="26"/>
  <c r="G10" i="26"/>
  <c r="E10" i="26"/>
  <c r="I10" i="26"/>
  <c r="E8" i="26"/>
  <c r="I8" i="26"/>
  <c r="I13" i="26"/>
  <c r="G13" i="26"/>
  <c r="E13" i="26"/>
  <c r="F16" i="26"/>
  <c r="C14" i="26"/>
  <c r="H16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2" i="26" l="1"/>
  <c r="E12" i="26" s="1"/>
  <c r="G26" i="26"/>
  <c r="E26" i="26"/>
  <c r="G28" i="26"/>
  <c r="E28" i="26"/>
  <c r="I9" i="26"/>
  <c r="E9" i="26"/>
  <c r="G9" i="26"/>
  <c r="I11" i="26"/>
  <c r="G11" i="26"/>
  <c r="E11" i="26"/>
  <c r="E14" i="26"/>
  <c r="G14" i="26"/>
  <c r="I14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27" i="26" s="1"/>
  <c r="E74" i="19"/>
  <c r="E75" i="19" s="1"/>
  <c r="AN468" i="3"/>
  <c r="AO468" i="3" s="1"/>
  <c r="S353" i="3"/>
  <c r="G12" i="26" l="1"/>
  <c r="C16" i="26"/>
  <c r="I12" i="26"/>
  <c r="I16" i="26" s="1"/>
  <c r="G16" i="26"/>
  <c r="E27" i="26"/>
  <c r="E30" i="26" s="1"/>
  <c r="G27" i="26"/>
  <c r="G30" i="26" s="1"/>
  <c r="C30" i="26"/>
  <c r="E16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4" i="3" l="1"/>
  <c r="AF513" i="3"/>
  <c r="AG513" i="3" s="1"/>
  <c r="AF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8" i="17" s="1"/>
  <c r="E76" i="19"/>
  <c r="E77" i="19" s="1"/>
  <c r="AE498" i="3"/>
  <c r="AE489" i="17"/>
  <c r="AN489" i="17"/>
  <c r="AO489" i="17" s="1"/>
  <c r="C76" i="19"/>
  <c r="C77" i="19" s="1"/>
  <c r="AF502" i="3"/>
  <c r="AN498" i="3"/>
  <c r="AO498" i="3" s="1"/>
  <c r="AF504" i="17" l="1"/>
  <c r="AH508" i="17"/>
  <c r="AH498" i="17"/>
  <c r="D50" i="19"/>
  <c r="M314" i="3"/>
  <c r="AE498" i="17"/>
  <c r="AF502" i="17"/>
  <c r="AN498" i="17"/>
  <c r="AO498" i="17" s="1"/>
  <c r="G76" i="19"/>
  <c r="I76" i="19" s="1"/>
  <c r="G77" i="19"/>
  <c r="I77" i="19" s="1"/>
  <c r="AH407" i="3"/>
  <c r="AI407" i="3" s="1"/>
  <c r="E50" i="2" l="1"/>
  <c r="E53" i="2" s="1"/>
  <c r="E56" i="2" s="1"/>
  <c r="E65" i="2" s="1"/>
  <c r="AI498" i="17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<sst xmlns="http://schemas.openxmlformats.org/spreadsheetml/2006/main" count="16691" uniqueCount="3053">
  <si>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</si>
  <si>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</si>
  <si>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</si>
  <si>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</si>
  <si>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</si>
  <si>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</si>
  <si>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</si>
  <si>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</si>
  <si>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</si>
  <si>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</si>
  <si>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</si>
  <si>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</si>
  <si>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</si>
  <si>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</si>
  <si>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</si>
  <si>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</si>
  <si>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</si>
  <si>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</si>
  <si>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</si>
  <si>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</si>
  <si>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</si>
  <si>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</si>
  <si>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</si>
  <si>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</si>
  <si>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</si>
  <si>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</si>
  <si>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</si>
  <si>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</si>
  <si>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</si>
  <si>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</si>
  <si>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</si>
  <si>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</si>
  <si>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</si>
  <si>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</si>
  <si>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</si>
  <si>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</si>
  <si>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</si>
  <si>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</si>
  <si>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</si>
  <si>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</si>
  <si>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</si>
  <si>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</si>
  <si>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</si>
  <si>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</si>
  <si>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</si>
  <si>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</si>
  <si>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</si>
  <si>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</si>
  <si>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</si>
  <si>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</si>
  <si>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</si>
  <si>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</si>
  <si>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</si>
  <si>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</si>
  <si>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</si>
  <si>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</si>
  <si>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</si>
  <si>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</si>
  <si>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</si>
  <si>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</si>
  <si>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</si>
  <si>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</si>
  <si>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</si>
  <si>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</si>
  <si>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</si>
  <si>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</si>
  <si>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</si>
  <si>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</si>
  <si>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</si>
  <si>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</si>
  <si>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</si>
  <si>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</si>
  <si>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</si>
  <si>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</si>
  <si>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</si>
  <si>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</si>
  <si>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</si>
  <si>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</si>
  <si>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</si>
  <si>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</si>
  <si>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</si>
  <si>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</si>
  <si>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</si>
  <si>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</si>
  <si>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</si>
  <si>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</si>
  <si>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</si>
  <si>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</si>
  <si>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</si>
  <si>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</si>
  <si>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</si>
  <si>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</si>
  <si>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</si>
  <si>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</si>
  <si>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</si>
  <si>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</si>
  <si>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</si>
  <si>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</si>
  <si>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</si>
  <si>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</si>
  <si>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</si>
  <si>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</si>
  <si>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</si>
  <si>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</si>
  <si>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</si>
  <si>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</si>
  <si>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</si>
  <si>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</si>
  <si>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</si>
  <si>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</si>
  <si>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</si>
  <si>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</si>
  <si>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</si>
  <si>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</si>
  <si>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</si>
  <si>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</si>
  <si>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</si>
  <si>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</si>
  <si>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</si>
  <si>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</si>
  <si>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</si>
  <si>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</si>
  <si>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</si>
  <si>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</si>
  <si>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</si>
  <si>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</si>
  <si>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</si>
  <si>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</si>
  <si>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</si>
  <si>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</si>
  <si>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</si>
  <si>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</si>
  <si>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</si>
  <si>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</si>
  <si>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</si>
  <si>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</si>
  <si>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</si>
  <si>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</si>
  <si>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</si>
  <si>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</si>
  <si>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</si>
  <si>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</si>
  <si>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</si>
  <si>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</si>
  <si>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</si>
  <si>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</si>
  <si>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</si>
  <si>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</si>
  <si>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</si>
  <si>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</si>
  <si>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</si>
  <si>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</si>
  <si>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</si>
  <si>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</si>
  <si>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</si>
  <si>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</si>
  <si>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</si>
  <si>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</si>
  <si>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</si>
  <si>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</si>
  <si>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</si>
  <si>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</si>
  <si>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</si>
  <si>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</si>
  <si>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</si>
  <si>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</si>
  <si>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</si>
  <si>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</si>
  <si>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</si>
  <si>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</si>
  <si>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</si>
  <si>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</si>
  <si>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</si>
  <si>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</si>
  <si>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</si>
  <si>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</si>
  <si>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</si>
  <si>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</si>
  <si>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</si>
  <si>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</si>
  <si>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</si>
  <si>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</si>
  <si>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</si>
  <si>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</si>
  <si>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</si>
  <si>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</si>
  <si>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</si>
  <si>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</si>
  <si>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</si>
  <si>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</si>
  <si>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</si>
  <si>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</si>
  <si>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</si>
  <si>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</si>
  <si>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</si>
  <si>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</si>
  <si>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</si>
  <si>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</si>
  <si>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</si>
  <si>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</si>
  <si>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</si>
  <si>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</si>
  <si>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</si>
  <si>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</si>
  <si>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</si>
  <si>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</si>
  <si>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</si>
  <si>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</si>
  <si>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</si>
  <si>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</si>
  <si>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</si>
  <si>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</si>
  <si>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</si>
  <si>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</si>
  <si>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</si>
  <si>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</si>
  <si>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</si>
  <si>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</si>
  <si>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</si>
  <si>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</si>
  <si>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</si>
  <si>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</si>
  <si>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</si>
  <si>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</si>
  <si>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</si>
  <si>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</si>
  <si>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</si>
  <si>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</si>
  <si>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</si>
  <si>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</si>
  <si>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</si>
  <si>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</si>
  <si>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</si>
  <si>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</si>
  <si>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</si>
  <si>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</si>
  <si>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</si>
  <si>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</si>
  <si>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</si>
  <si>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</si>
  <si>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</si>
  <si>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</si>
  <si>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</si>
  <si>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</si>
  <si>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</si>
  <si>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</si>
  <si>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</si>
  <si>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</si>
  <si>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</si>
  <si>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</si>
  <si>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</si>
  <si>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</si>
  <si>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</si>
  <si>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</si>
  <si>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</si>
  <si>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</si>
  <si>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</si>
  <si>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</si>
  <si>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</si>
  <si>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</si>
  <si>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</si>
  <si>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</si>
  <si>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</si>
  <si>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</si>
  <si>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</si>
  <si>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</si>
  <si>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</si>
  <si>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</si>
  <si>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</si>
  <si>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</si>
  <si>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</si>
  <si>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</si>
  <si>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</si>
  <si>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</si>
  <si>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</si>
  <si>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</si>
  <si>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</si>
  <si>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</si>
  <si>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</si>
  <si>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</si>
  <si>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</si>
  <si>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</si>
  <si>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</si>
  <si>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</si>
  <si>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</si>
  <si>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</si>
  <si>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</si>
  <si>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</si>
  <si>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</si>
  <si>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</si>
  <si>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</si>
  <si>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</si>
  <si>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</si>
  <si>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</si>
  <si>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</si>
  <si>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</si>
  <si>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</si>
  <si>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</si>
  <si>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</si>
  <si>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</si>
  <si>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</si>
  <si>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</si>
  <si>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</si>
  <si>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</si>
  <si>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</si>
  <si>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</si>
  <si>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</si>
  <si>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</si>
  <si>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</si>
  <si>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</si>
  <si>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</si>
  <si>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</si>
  <si>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</si>
  <si>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</si>
  <si>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</si>
  <si>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</si>
  <si>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</si>
  <si>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</si>
  <si>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</si>
  <si>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</si>
  <si>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</si>
  <si>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</si>
  <si>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</si>
  <si>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</si>
  <si>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</si>
  <si>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</si>
  <si>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</si>
  <si>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</si>
  <si>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</si>
  <si>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</si>
  <si>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</si>
  <si>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</si>
  <si>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</si>
  <si>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</si>
  <si>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</si>
  <si>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</si>
  <si>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</si>
  <si>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</si>
  <si>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</si>
  <si>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</si>
  <si>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</si>
  <si>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</si>
  <si>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</si>
  <si>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</si>
  <si>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</si>
  <si>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</si>
  <si>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</si>
  <si>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</si>
  <si>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</si>
  <si>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</si>
  <si>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</si>
  <si>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</si>
  <si>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</si>
  <si>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</si>
  <si>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</si>
  <si>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</si>
  <si>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</si>
  <si>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</si>
  <si>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</si>
  <si>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</si>
  <si>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</si>
  <si>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</si>
  <si>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</si>
  <si>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</si>
  <si>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</si>
  <si>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</si>
  <si>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</si>
  <si>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</si>
  <si>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</si>
  <si>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</si>
  <si>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</si>
  <si>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</si>
  <si>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</si>
  <si>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</si>
  <si>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</si>
  <si>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</si>
  <si>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</si>
  <si>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</si>
  <si>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</si>
  <si>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</si>
  <si>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</si>
  <si>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</si>
  <si>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</si>
  <si>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</si>
  <si>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</si>
  <si>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</si>
  <si>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</si>
  <si>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</si>
  <si>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</si>
  <si>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</si>
  <si>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</si>
  <si>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</si>
  <si>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</si>
  <si>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</si>
  <si>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</si>
  <si>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</si>
  <si>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</si>
  <si>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</si>
  <si>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</si>
  <si>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</si>
  <si>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</si>
  <si>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</si>
  <si>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</si>
  <si>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</si>
  <si>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</si>
  <si>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</si>
  <si>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</si>
  <si>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</si>
  <si>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</si>
  <si>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</si>
  <si>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</si>
  <si>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</si>
  <si>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</si>
  <si>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</si>
  <si>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</si>
  <si>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</si>
  <si>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</si>
  <si>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</si>
  <si>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</si>
  <si>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</si>
  <si>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</si>
  <si>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</si>
  <si>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</si>
  <si>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</si>
  <si>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</si>
  <si>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</si>
  <si>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</si>
  <si>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</si>
  <si>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</si>
  <si>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</si>
  <si>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</si>
  <si>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</si>
  <si>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</si>
  <si>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</si>
  <si>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</si>
  <si>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</si>
  <si>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</si>
  <si>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</si>
  <si>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</si>
  <si>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</si>
  <si>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</si>
  <si>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</si>
  <si>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</si>
  <si>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</si>
  <si>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</si>
  <si>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</si>
  <si>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</si>
  <si>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</si>
  <si>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</si>
  <si>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</si>
  <si>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</si>
  <si>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</si>
  <si>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</si>
  <si>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</si>
  <si>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</si>
  <si>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</si>
  <si>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</si>
  <si>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</si>
  <si>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</si>
  <si>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</si>
  <si>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</si>
  <si>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</si>
  <si>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</si>
  <si>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</si>
  <si>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</si>
  <si>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</si>
  <si>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</si>
  <si>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</si>
  <si>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</si>
  <si>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</si>
  <si>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</si>
  <si>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</si>
  <si>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</si>
  <si>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</si>
  <si>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</si>
  <si>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</si>
  <si>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</si>
  <si>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</si>
  <si>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</si>
  <si>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</si>
  <si>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</si>
  <si>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</si>
  <si>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</si>
  <si>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</si>
  <si>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</si>
  <si>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</si>
  <si>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</si>
  <si>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</si>
  <si>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</si>
  <si>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</si>
  <si>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</si>
  <si>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</si>
  <si>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</si>
  <si>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</si>
  <si>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</si>
  <si>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</si>
  <si>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</si>
  <si>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</si>
  <si>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</si>
  <si>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</si>
  <si>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</si>
  <si>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</si>
  <si>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</si>
  <si>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</si>
  <si>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</si>
  <si>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</si>
  <si>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</si>
  <si>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</si>
  <si>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</si>
  <si>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</si>
  <si>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</si>
  <si>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</si>
  <si>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</si>
  <si>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</si>
  <si>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</si>
  <si>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</si>
  <si>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</si>
  <si>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</si>
  <si>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</si>
  <si>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</si>
  <si>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</si>
  <si>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</si>
  <si>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</si>
  <si>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</si>
  <si>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</si>
  <si>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</si>
  <si>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</si>
  <si>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</si>
  <si>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</si>
  <si>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</si>
  <si>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</si>
  <si>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</si>
  <si>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</si>
  <si>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</si>
  <si>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</si>
  <si>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</si>
  <si>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</si>
  <si>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</si>
  <si>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</si>
  <si>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</si>
  <si>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</si>
  <si>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</si>
  <si>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</si>
  <si>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</si>
  <si>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</si>
  <si>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</si>
  <si>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</si>
  <si>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</si>
  <si>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</si>
  <si>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</si>
  <si>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</si>
  <si>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</si>
  <si>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</si>
  <si>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</si>
  <si>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</si>
  <si>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</si>
  <si>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</si>
  <si>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</si>
  <si>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</si>
  <si>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</si>
  <si>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</si>
  <si>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</si>
  <si>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</si>
  <si>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</si>
  <si>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</si>
  <si>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</si>
  <si>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</si>
  <si>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</si>
  <si>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</si>
  <si>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</si>
  <si>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</si>
  <si>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</si>
  <si>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</si>
  <si>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</si>
  <si>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</si>
  <si>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</si>
  <si>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</si>
  <si>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</si>
  <si>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</si>
  <si>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</si>
  <si>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</si>
  <si>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</si>
  <si>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</si>
  <si>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</si>
  <si>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</si>
  <si>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</si>
  <si>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</si>
  <si>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</si>
  <si>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</si>
  <si>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</si>
  <si>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</si>
  <si>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</si>
  <si>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</si>
  <si>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</si>
  <si>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</si>
  <si>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</si>
  <si>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</si>
  <si>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</si>
  <si>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</si>
  <si>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</si>
  <si>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</si>
  <si>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</si>
  <si>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</si>
  <si>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</si>
  <si>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</si>
  <si>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</si>
  <si>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</si>
  <si>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</si>
  <si>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</si>
  <si>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</si>
  <si>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</si>
  <si>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</si>
  <si>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</si>
  <si>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</si>
  <si>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</si>
  <si>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</si>
  <si>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</si>
  <si>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</si>
  <si>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</si>
  <si>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</si>
  <si>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</si>
  <si>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</si>
  <si>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</si>
  <si>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</si>
  <si>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</si>
  <si>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</si>
  <si>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</si>
  <si>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</si>
  <si>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</si>
  <si>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</si>
  <si>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</si>
  <si>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</si>
  <si>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</si>
  <si>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</si>
  <si>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</si>
  <si>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</si>
  <si>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</si>
  <si>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</si>
  <si>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</si>
  <si>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</si>
  <si>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</si>
  <si>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</si>
  <si>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</si>
  <si>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</si>
  <si>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</si>
  <si>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</si>
  <si>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</si>
  <si>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</si>
  <si>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</si>
  <si>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</si>
  <si>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</si>
  <si>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</si>
  <si>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</si>
  <si>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</si>
  <si>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</si>
  <si>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</si>
  <si>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</si>
  <si>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</si>
  <si>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</si>
  <si>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</si>
  <si>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</si>
  <si>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</si>
  <si>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</si>
  <si>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</si>
  <si>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</si>
  <si>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</si>
  <si>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</si>
  <si>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</si>
  <si>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</si>
  <si>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</si>
  <si>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</si>
  <si>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</si>
  <si>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</si>
  <si>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</si>
  <si>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</si>
  <si>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</si>
  <si>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</si>
  <si>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</si>
  <si>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</si>
  <si>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</si>
  <si>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</si>
  <si>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</si>
  <si>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</si>
  <si>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</si>
  <si>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</si>
  <si>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</si>
  <si>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</si>
  <si>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</si>
  <si>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</si>
  <si>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</si>
  <si>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</si>
  <si>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</si>
  <si>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</si>
  <si>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</si>
  <si>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</si>
  <si>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</si>
  <si>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</si>
  <si>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</si>
  <si>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</si>
  <si>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</si>
  <si>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</si>
  <si>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</si>
  <si>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</si>
  <si>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</si>
  <si>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</si>
  <si>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</si>
  <si>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</si>
  <si>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</si>
  <si>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</si>
  <si>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</si>
  <si>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</si>
  <si>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</si>
  <si>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</si>
  <si>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</si>
  <si>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</si>
  <si>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</si>
  <si>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</si>
  <si>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</si>
  <si>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</si>
  <si>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</si>
  <si>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</si>
  <si>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</si>
  <si>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</si>
  <si>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</si>
  <si>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</si>
  <si>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</si>
  <si>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</si>
  <si>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</si>
  <si>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</si>
  <si>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</si>
  <si>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</si>
  <si>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</si>
  <si>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</si>
  <si>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</si>
  <si>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</si>
  <si>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</si>
  <si>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</si>
  <si>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</si>
  <si>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</si>
  <si>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</si>
  <si>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</si>
  <si>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</si>
  <si>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</si>
  <si>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</si>
  <si>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</si>
  <si>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</si>
  <si>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</si>
  <si>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</si>
  <si>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</si>
  <si>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</si>
  <si>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</si>
  <si>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</si>
  <si>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</si>
  <si>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</si>
  <si>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</si>
  <si>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</si>
  <si>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</si>
  <si>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</si>
  <si>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</si>
  <si>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</si>
  <si>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</si>
  <si>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</si>
  <si>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</si>
  <si>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</si>
  <si>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</si>
  <si>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</si>
  <si>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</si>
  <si>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</si>
  <si>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</si>
  <si>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</si>
  <si>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</si>
  <si>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</si>
  <si>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</si>
  <si>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</si>
  <si>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</si>
  <si>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</si>
  <si>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</si>
  <si>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</si>
  <si>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</si>
  <si>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</si>
  <si>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</si>
  <si>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</si>
  <si>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</si>
  <si>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</si>
  <si>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</si>
  <si>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</si>
  <si>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</si>
  <si>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</si>
  <si>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</si>
  <si>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</si>
  <si>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</si>
  <si>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</si>
  <si>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</si>
  <si>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</si>
  <si>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</si>
  <si>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</si>
  <si>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</si>
  <si>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</si>
  <si>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</si>
  <si>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</si>
  <si>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</si>
  <si>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</si>
  <si>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</si>
  <si>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</si>
  <si>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</si>
  <si>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</si>
  <si>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</si>
  <si>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</si>
  <si>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</si>
  <si>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</si>
  <si>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</si>
  <si>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</si>
  <si>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</si>
  <si>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</si>
  <si>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</si>
  <si>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</si>
  <si>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</si>
  <si>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</si>
  <si>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</si>
  <si>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</si>
  <si>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</si>
  <si>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</si>
  <si>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</si>
  <si>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</si>
  <si>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</si>
  <si>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</si>
  <si>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</si>
  <si>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</si>
  <si>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</si>
  <si>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</si>
  <si>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</si>
  <si>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</si>
  <si>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</si>
  <si>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</si>
  <si>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</si>
  <si>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</si>
  <si>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</si>
  <si>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</si>
  <si>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</si>
  <si>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</si>
  <si>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</si>
  <si>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</si>
  <si>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</si>
  <si>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</si>
  <si>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</si>
  <si>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</si>
  <si>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</si>
  <si>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</si>
  <si>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</si>
  <si>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</si>
  <si>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</si>
  <si>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</si>
  <si>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</si>
  <si>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</si>
  <si>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</si>
  <si>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</si>
  <si>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</si>
  <si>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</si>
  <si>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</si>
  <si>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</si>
  <si>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</si>
  <si>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</si>
  <si>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</si>
  <si>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</si>
  <si>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</si>
  <si>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</si>
  <si>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</si>
  <si>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</si>
  <si>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</si>
  <si>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</si>
  <si>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</si>
  <si>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</si>
  <si>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</si>
  <si>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</si>
  <si>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</si>
  <si>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</si>
  <si>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</si>
  <si>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</si>
  <si>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</si>
  <si>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</si>
  <si>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</si>
  <si>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</si>
  <si>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</si>
  <si>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</si>
  <si>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</si>
  <si>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</si>
  <si>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</si>
  <si>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</si>
  <si>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</si>
  <si>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</si>
  <si>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</si>
  <si>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</si>
  <si>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</si>
  <si>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</si>
  <si>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</si>
  <si>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</si>
  <si>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</si>
  <si>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</si>
  <si>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</si>
  <si>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</si>
  <si>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</si>
  <si>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</si>
  <si>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</si>
  <si>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</si>
  <si>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</si>
  <si>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</si>
  <si>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</si>
  <si>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</si>
  <si>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</si>
  <si>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</si>
  <si>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</si>
  <si>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</si>
  <si>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</si>
  <si>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</si>
  <si>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</si>
  <si>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</si>
  <si>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</si>
  <si>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</si>
  <si>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</si>
  <si>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</si>
  <si>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</si>
  <si>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</si>
  <si>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</si>
  <si>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</si>
  <si>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</si>
  <si>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</si>
  <si>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</si>
  <si>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</si>
  <si>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</si>
  <si>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</si>
  <si>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</si>
  <si>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</si>
  <si>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</si>
  <si>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</si>
  <si>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</si>
  <si>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</si>
  <si>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</si>
  <si>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</si>
  <si>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</si>
  <si>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</si>
  <si>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</si>
  <si>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</si>
  <si>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</si>
  <si>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</si>
  <si>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</si>
  <si>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</si>
  <si>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</si>
  <si>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</si>
  <si>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</si>
  <si>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</si>
  <si>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</si>
  <si>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</si>
  <si>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</si>
  <si>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</si>
  <si>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</si>
  <si>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</si>
  <si>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</si>
  <si>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</si>
  <si>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</si>
  <si>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</si>
  <si>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</si>
  <si>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</si>
  <si>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</si>
  <si>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</si>
  <si>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</si>
  <si>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</si>
  <si>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</si>
  <si>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</si>
  <si>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</si>
  <si>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</si>
  <si>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</si>
  <si>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</si>
  <si>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</si>
  <si>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</si>
  <si>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</si>
  <si>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</si>
  <si>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</si>
  <si>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</si>
  <si>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</si>
  <si>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</si>
  <si>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</si>
  <si>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</si>
  <si>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</si>
  <si>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</si>
  <si>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</si>
  <si>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</si>
  <si>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</si>
  <si>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</si>
  <si>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</si>
  <si>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</si>
  <si>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</si>
  <si>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</si>
  <si>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</si>
  <si>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</si>
  <si>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</si>
  <si>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</si>
  <si>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</si>
  <si>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</si>
  <si>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</si>
  <si>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</si>
  <si>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</si>
  <si>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</si>
  <si>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</si>
  <si>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</si>
  <si>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</si>
  <si>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</si>
  <si>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</si>
  <si>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</si>
  <si>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</si>
  <si>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</si>
  <si>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</si>
  <si>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</si>
  <si>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</si>
  <si>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</si>
  <si>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</si>
  <si>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</si>
  <si>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</si>
  <si>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</si>
  <si>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</si>
  <si>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</si>
  <si>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</si>
  <si>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</si>
  <si>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</si>
  <si>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</si>
  <si>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</si>
  <si>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</si>
  <si>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</si>
  <si>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</si>
  <si>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</si>
  <si>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</si>
  <si>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</si>
  <si>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</si>
  <si>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</si>
  <si>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</si>
  <si>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</si>
  <si>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</si>
  <si>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</si>
  <si>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</si>
  <si>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</si>
  <si>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</si>
  <si>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</si>
  <si>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</si>
  <si>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</si>
  <si>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</si>
  <si>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</si>
  <si>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</si>
  <si>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</si>
  <si>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</si>
  <si>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</si>
  <si>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</si>
  <si>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</si>
  <si>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</si>
  <si>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</si>
  <si>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</si>
  <si>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</si>
  <si>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</si>
  <si>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</si>
  <si>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</si>
  <si>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</si>
  <si>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</si>
  <si>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</si>
  <si>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</si>
  <si>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</si>
  <si>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</si>
  <si>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</si>
  <si>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</si>
  <si>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</si>
  <si>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</si>
  <si>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</si>
  <si>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</si>
  <si>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</si>
  <si>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</si>
  <si>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</si>
  <si>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</si>
  <si>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</si>
  <si>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</si>
  <si>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</si>
  <si>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</si>
  <si>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</si>
  <si>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</si>
  <si>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</si>
  <si>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</si>
  <si>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</si>
  <si>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</si>
  <si>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</si>
  <si>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</si>
  <si>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</si>
  <si>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</si>
  <si>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</si>
  <si>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</si>
  <si>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</si>
  <si>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</si>
  <si>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</si>
  <si>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</si>
  <si>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</si>
  <si>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</si>
  <si>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</si>
  <si>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</si>
  <si>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</si>
  <si>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</si>
  <si>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</si>
  <si>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</si>
  <si>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</si>
  <si>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</si>
  <si>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</si>
  <si>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</si>
  <si>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</si>
  <si>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</si>
  <si>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</si>
  <si>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</si>
  <si>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</si>
  <si>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</si>
  <si>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</si>
  <si>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</si>
  <si>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</si>
  <si>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</si>
  <si>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</si>
  <si>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</si>
  <si>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</si>
  <si>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</si>
  <si>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</si>
  <si>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</si>
  <si>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</si>
  <si>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</si>
  <si>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</si>
  <si>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</si>
  <si>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</si>
  <si>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</si>
  <si>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</si>
  <si>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</si>
  <si>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</si>
  <si>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</si>
  <si>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</si>
  <si>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</si>
  <si>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</si>
  <si>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</si>
  <si>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</si>
  <si>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</si>
  <si>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</si>
  <si>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</si>
  <si>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</si>
  <si>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</si>
  <si>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</si>
  <si>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</si>
  <si>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</si>
  <si>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</si>
  <si>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</si>
  <si>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</si>
  <si>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</si>
  <si>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</si>
  <si>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</si>
  <si>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</si>
  <si>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</si>
  <si>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</si>
  <si>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</si>
  <si>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</si>
  <si>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</si>
  <si>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</si>
  <si>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</si>
  <si>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</si>
  <si>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</si>
  <si>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</si>
  <si>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</si>
  <si>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</si>
  <si>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</si>
  <si>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</si>
  <si>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</si>
  <si>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</si>
  <si>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</si>
  <si>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</si>
  <si>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</si>
  <si>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</si>
  <si>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</si>
  <si>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</si>
  <si>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</si>
  <si>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</si>
  <si>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</si>
  <si>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</si>
  <si>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</si>
  <si>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</si>
  <si>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</si>
  <si>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</si>
  <si>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</si>
  <si>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</si>
  <si>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</si>
  <si>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</si>
  <si>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</si>
  <si>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</si>
  <si>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</si>
  <si>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</si>
  <si>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</si>
  <si>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</si>
  <si>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</si>
  <si>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</si>
  <si>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</si>
  <si>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</si>
  <si>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</si>
  <si>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</si>
  <si>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</si>
  <si>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</si>
  <si>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</si>
  <si>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</si>
  <si>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</si>
  <si>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</si>
  <si>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</si>
  <si>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</si>
  <si>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</si>
  <si>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</si>
  <si>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</si>
  <si>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</si>
  <si>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</si>
  <si>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</si>
  <si>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</si>
  <si>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</si>
  <si>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</si>
  <si>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</si>
  <si>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</si>
  <si>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</si>
  <si>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</si>
  <si>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</si>
  <si>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</si>
  <si>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</si>
  <si>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</si>
  <si>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</si>
  <si>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</si>
  <si>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</si>
  <si>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</si>
  <si>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</si>
  <si>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</si>
  <si>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</si>
  <si>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</si>
  <si>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</si>
  <si>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</si>
  <si>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</si>
  <si>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</si>
  <si>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</si>
  <si>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</si>
  <si>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</si>
  <si>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</si>
  <si>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</si>
  <si>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</si>
  <si>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</si>
  <si>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</si>
  <si>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</si>
  <si>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</si>
  <si>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</si>
  <si>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</si>
  <si>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</si>
  <si>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</si>
  <si>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</si>
  <si>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</si>
  <si>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</si>
  <si>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</si>
  <si>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</si>
  <si>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</si>
  <si>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</si>
  <si>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</si>
  <si>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</si>
  <si>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</si>
  <si>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</si>
  <si>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</si>
  <si>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</si>
  <si>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</si>
  <si>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</si>
  <si>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</si>
  <si>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</si>
  <si>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</si>
  <si>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</si>
  <si>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</si>
  <si>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</si>
  <si>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</si>
  <si>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</si>
  <si>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</si>
  <si>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</si>
  <si>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</si>
  <si>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</si>
  <si>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</si>
  <si>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</si>
  <si>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</si>
  <si>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</si>
  <si>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</si>
  <si>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</si>
  <si>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</si>
  <si>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</si>
  <si>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</si>
  <si>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</si>
  <si>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</si>
  <si>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</si>
  <si>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</si>
  <si>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</si>
  <si>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</si>
  <si>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</si>
  <si>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</si>
  <si>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</si>
  <si>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</si>
  <si>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</si>
  <si>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</si>
  <si>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</si>
  <si>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</si>
  <si>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</si>
  <si>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</si>
  <si>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</si>
  <si>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</si>
  <si>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</si>
  <si>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</si>
  <si>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</si>
  <si>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</si>
  <si>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</si>
  <si>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</si>
  <si>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</si>
  <si>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</si>
  <si>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</si>
  <si>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</si>
  <si>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</si>
  <si>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</si>
  <si>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</si>
  <si>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</si>
  <si>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</si>
  <si>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</si>
  <si>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</si>
  <si>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</si>
  <si>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</si>
  <si>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</si>
  <si>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</si>
  <si>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</si>
  <si>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</si>
  <si>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</si>
  <si>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</si>
  <si>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</si>
  <si>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</si>
  <si>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</si>
  <si>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</si>
  <si>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</si>
  <si>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</si>
  <si>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</si>
  <si>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</si>
  <si>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</si>
  <si>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</si>
  <si>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</si>
  <si>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</si>
  <si>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</si>
  <si>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</si>
  <si>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</si>
  <si>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</si>
  <si>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</si>
  <si>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</si>
  <si>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</si>
  <si>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</si>
  <si>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</si>
  <si>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</si>
  <si>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</si>
  <si>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</si>
  <si>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</si>
  <si>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</si>
  <si>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</si>
  <si>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</si>
  <si>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</si>
  <si>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</si>
  <si>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</si>
  <si>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</si>
  <si>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</si>
  <si>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</si>
  <si>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</si>
  <si>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</si>
  <si>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</si>
  <si>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</si>
  <si>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</si>
  <si>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</si>
  <si>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</si>
  <si>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</si>
  <si>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</si>
  <si>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</si>
  <si>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</si>
  <si>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</si>
  <si>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</si>
  <si>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</si>
  <si>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</si>
  <si>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</si>
  <si>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</si>
  <si>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</si>
  <si>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</si>
  <si>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</si>
  <si>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</si>
  <si>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</si>
  <si>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</si>
  <si>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</si>
  <si>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</si>
  <si>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</si>
  <si>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</si>
  <si>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</si>
  <si>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</si>
  <si>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</si>
  <si>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</si>
  <si>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</si>
  <si>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</si>
  <si>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</si>
  <si>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</si>
  <si>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</si>
  <si>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</si>
  <si>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</si>
  <si>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</si>
  <si>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</si>
  <si>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</si>
  <si>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</si>
  <si>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</si>
  <si>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</si>
  <si>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</si>
  <si>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</si>
  <si>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</si>
  <si>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</si>
  <si>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</si>
  <si>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</si>
  <si>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</si>
  <si>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</si>
  <si>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</si>
  <si>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</si>
  <si>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</si>
  <si>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</si>
  <si>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</si>
  <si>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</si>
  <si>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</si>
  <si>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</si>
  <si>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</si>
  <si>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</si>
  <si>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</si>
  <si>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</si>
  <si>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</si>
  <si>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</si>
  <si>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</si>
  <si>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</si>
  <si>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</si>
  <si>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</si>
  <si>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</si>
  <si>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</si>
  <si>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</si>
  <si>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</si>
  <si>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</si>
  <si>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</si>
  <si>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</si>
  <si>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</si>
  <si>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</si>
  <si>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</si>
  <si>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</si>
  <si>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</si>
  <si>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</si>
  <si>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</si>
  <si>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</si>
  <si>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</si>
  <si>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</si>
  <si>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</si>
  <si>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</si>
  <si>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</si>
  <si>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</si>
  <si>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</si>
  <si>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</si>
  <si>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</si>
  <si>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</si>
  <si>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</si>
  <si>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</si>
  <si>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</si>
  <si>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</si>
  <si>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</si>
  <si>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</si>
  <si>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</si>
  <si>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</si>
  <si>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</si>
  <si>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</si>
  <si>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</si>
  <si>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</si>
  <si>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</si>
  <si>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</si>
  <si>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</si>
  <si>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</si>
  <si>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</si>
  <si>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</si>
  <si>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</si>
  <si>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</si>
  <si>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</si>
  <si>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</si>
  <si>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</si>
  <si>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</si>
  <si>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</si>
  <si>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</si>
  <si>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</si>
  <si>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</si>
  <si>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</si>
  <si>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</si>
  <si>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</si>
  <si>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</si>
  <si>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</si>
  <si>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</si>
  <si>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</si>
  <si>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</si>
  <si>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</si>
  <si>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</si>
  <si>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</si>
  <si>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</si>
  <si>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</si>
  <si>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</si>
  <si>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</si>
  <si>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</si>
  <si>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</si>
  <si>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</si>
  <si>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</si>
  <si>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</si>
  <si>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</si>
  <si>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</si>
  <si>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</si>
  <si>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</si>
  <si>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</si>
  <si>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</si>
  <si>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</si>
  <si>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</si>
  <si>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</si>
  <si>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</si>
  <si>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</si>
  <si>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</si>
  <si>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</si>
  <si>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</si>
  <si>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</si>
  <si>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</si>
  <si>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</si>
  <si>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</si>
  <si>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</si>
  <si>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</si>
  <si>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</si>
  <si>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</si>
  <si>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</si>
  <si>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</si>
  <si>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</si>
  <si>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</si>
  <si>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</si>
  <si>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</si>
  <si>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</si>
  <si>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</si>
  <si>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</si>
  <si>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</si>
  <si>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</si>
  <si>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</si>
  <si>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</si>
  <si>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</si>
  <si>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</si>
  <si>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</si>
  <si>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</si>
  <si>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</si>
  <si>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</si>
  <si>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</si>
  <si>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</si>
  <si>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</si>
  <si>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</si>
  <si>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</si>
  <si>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</si>
  <si>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</si>
  <si>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</si>
  <si>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</si>
  <si>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</si>
  <si>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</si>
  <si>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</si>
  <si>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</si>
  <si>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</si>
  <si>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</si>
  <si>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</si>
  <si>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</si>
  <si>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</si>
  <si>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</si>
  <si>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</si>
  <si>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</si>
  <si>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</si>
  <si>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</si>
  <si>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</si>
  <si>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</si>
  <si>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</si>
  <si>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</si>
  <si>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</si>
  <si>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</si>
  <si>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</si>
  <si>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</si>
  <si>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</si>
  <si>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</si>
  <si>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</si>
  <si>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</si>
  <si>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</si>
  <si>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</si>
  <si>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</si>
  <si>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</si>
  <si>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</si>
  <si>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</si>
  <si>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</si>
  <si>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</si>
  <si>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</si>
  <si>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</si>
  <si>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</si>
  <si>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</si>
  <si>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</si>
  <si>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</si>
  <si>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</si>
  <si>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</si>
  <si>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</si>
  <si>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</si>
  <si>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</si>
  <si>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</si>
  <si>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</si>
  <si>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</si>
  <si>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</si>
  <si>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</si>
  <si>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</si>
  <si>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</si>
  <si>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</si>
  <si>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</si>
  <si>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</si>
  <si>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</si>
  <si>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</si>
  <si>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</si>
  <si>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</si>
  <si>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</si>
  <si>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</si>
  <si>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</si>
  <si>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</si>
  <si>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</si>
  <si>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</si>
  <si>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</si>
  <si>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</si>
  <si>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</si>
  <si>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</si>
  <si>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</si>
  <si>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</si>
  <si>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</si>
  <si>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</si>
  <si>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</si>
  <si>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</si>
  <si>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</si>
  <si>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</si>
  <si>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</si>
  <si>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</si>
  <si>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</si>
  <si>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</si>
  <si>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</si>
  <si>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</si>
  <si>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</si>
  <si>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</si>
  <si>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</si>
  <si>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</si>
  <si>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</si>
  <si>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</si>
  <si>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</si>
  <si>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</si>
  <si>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</si>
  <si>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</si>
  <si>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</si>
  <si>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</si>
  <si>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</si>
  <si>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</si>
  <si>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</si>
  <si>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</si>
  <si>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</si>
  <si>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</si>
  <si>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</si>
  <si>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</si>
  <si>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</si>
  <si>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</si>
  <si>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</si>
  <si>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</si>
  <si>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</si>
  <si>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</si>
  <si>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</si>
  <si>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</si>
  <si>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</si>
  <si>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</si>
  <si>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</si>
  <si>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</si>
  <si>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</si>
  <si>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</si>
  <si>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</si>
  <si>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</si>
  <si>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</si>
  <si>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</si>
  <si>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</si>
  <si>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</si>
  <si>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</si>
  <si>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</si>
  <si>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</si>
  <si>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</si>
  <si>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</si>
  <si>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</si>
  <si>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</si>
  <si>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</si>
  <si>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</si>
  <si>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</si>
  <si>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</si>
  <si>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</si>
  <si>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</si>
  <si>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</si>
  <si>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</si>
  <si>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</si>
  <si>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</si>
  <si>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</si>
  <si>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</si>
  <si>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</si>
  <si>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</si>
  <si>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</si>
  <si>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</si>
  <si>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</si>
  <si>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</si>
  <si>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</si>
  <si>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</si>
  <si>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</si>
  <si>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</si>
  <si>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</si>
  <si>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</si>
  <si>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</si>
  <si>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</si>
  <si>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</si>
  <si>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</si>
  <si>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</si>
  <si>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</si>
  <si>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</si>
  <si>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</si>
  <si>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</si>
  <si>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</si>
  <si>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</si>
  <si>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</si>
  <si>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</si>
  <si>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</si>
  <si>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</si>
  <si>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</si>
  <si>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</si>
  <si>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</si>
  <si>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</si>
  <si>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</si>
  <si>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</si>
  <si>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</si>
  <si>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</si>
  <si>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</si>
  <si>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</si>
  <si>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</si>
  <si>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</si>
  <si>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</si>
  <si>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</si>
  <si>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</si>
  <si>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</si>
  <si>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</si>
  <si>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</si>
  <si>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</si>
  <si>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</si>
  <si>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</si>
  <si>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</si>
  <si>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</si>
  <si>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</si>
  <si>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</si>
  <si>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</si>
  <si>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</si>
  <si>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</si>
  <si>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</si>
  <si>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</si>
  <si>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</si>
  <si>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</si>
  <si>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</si>
  <si>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</si>
  <si>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</si>
  <si>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</si>
  <si>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</si>
  <si>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</si>
  <si>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</si>
  <si>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</si>
  <si>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</si>
  <si>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</si>
  <si>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</si>
  <si>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</si>
  <si>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</si>
  <si>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</si>
  <si>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</si>
  <si>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</si>
  <si>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</si>
  <si>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</si>
  <si>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</si>
  <si>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</si>
  <si>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</si>
  <si>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</si>
  <si>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</si>
  <si>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</si>
  <si>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</si>
  <si>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</si>
  <si>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</si>
  <si>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</si>
  <si>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</si>
  <si>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</si>
  <si>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</si>
  <si>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</si>
  <si>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</si>
  <si>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</si>
  <si>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</si>
  <si>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</si>
  <si>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</si>
  <si>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</si>
  <si>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</si>
  <si>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</si>
  <si>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</si>
  <si>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</si>
  <si>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</si>
  <si>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</si>
  <si>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</si>
  <si>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</si>
  <si>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</si>
  <si>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</si>
  <si>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</si>
  <si>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</si>
  <si>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</si>
  <si>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</si>
  <si>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</si>
  <si>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</si>
  <si>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</si>
  <si>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</si>
  <si>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</si>
  <si>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</si>
  <si>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</si>
  <si>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</si>
  <si>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</si>
  <si>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</si>
  <si>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</si>
  <si>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</si>
  <si>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</si>
  <si>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</si>
  <si>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</si>
  <si>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</si>
  <si>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</si>
  <si>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</si>
  <si>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</si>
  <si>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</si>
  <si>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</si>
  <si>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</si>
  <si>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</si>
  <si>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</si>
  <si>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</si>
  <si>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</si>
  <si>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</si>
  <si>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</si>
  <si>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</si>
  <si>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</si>
  <si>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</si>
  <si>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</si>
  <si>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</si>
  <si>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</si>
  <si>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</si>
  <si>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</si>
  <si>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</si>
  <si>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</si>
  <si>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</si>
  <si>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</si>
  <si>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</si>
  <si>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</si>
  <si>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</si>
  <si>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</si>
  <si>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</si>
  <si>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</si>
  <si>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</si>
  <si>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</si>
  <si>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</si>
  <si>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</si>
  <si>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</si>
  <si>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</si>
  <si>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</si>
  <si>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</si>
  <si>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</si>
  <si>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</si>
  <si>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</si>
  <si>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</si>
  <si>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</si>
  <si>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</si>
  <si>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</si>
  <si>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</si>
  <si>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</si>
  <si>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</si>
  <si>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</si>
  <si>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</si>
  <si>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</si>
  <si>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</si>
  <si>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</si>
  <si>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</si>
  <si>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</si>
  <si>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</si>
  <si>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</si>
  <si>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</si>
  <si>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</si>
  <si>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</si>
  <si>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</si>
  <si>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</si>
  <si>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</si>
  <si>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</si>
  <si>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</si>
  <si>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</si>
  <si>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</si>
  <si>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</si>
  <si>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</si>
  <si>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</si>
  <si>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</si>
  <si>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</si>
  <si>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</si>
  <si>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</si>
  <si>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</si>
  <si>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</si>
  <si>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</si>
  <si>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</si>
  <si>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</si>
  <si>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</si>
  <si>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</si>
  <si>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</si>
  <si>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</si>
  <si>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</si>
  <si>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</si>
  <si>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</si>
  <si>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</si>
  <si>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</si>
  <si>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</si>
  <si>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</si>
  <si>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</si>
  <si>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</si>
  <si>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</si>
  <si>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</si>
  <si>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</si>
  <si>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</si>
  <si>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</si>
  <si>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</si>
  <si>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</si>
  <si>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</si>
  <si>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</si>
  <si>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</si>
  <si>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</si>
  <si>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</si>
  <si>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</si>
  <si>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</si>
  <si>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</si>
  <si>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</si>
  <si>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</si>
  <si>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</si>
  <si>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</si>
  <si>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</si>
  <si>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</si>
  <si>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</si>
  <si>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</si>
  <si>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</si>
  <si>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</si>
  <si>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</si>
  <si>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</si>
  <si>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</si>
  <si>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</si>
  <si>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</si>
  <si>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</si>
  <si>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</si>
  <si>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</si>
  <si>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</si>
  <si>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</si>
  <si>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</si>
  <si>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</si>
  <si>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</si>
  <si>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</si>
  <si>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</si>
  <si>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</si>
  <si>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</si>
  <si>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</si>
  <si>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</si>
  <si>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</si>
  <si>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</si>
  <si>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</si>
  <si>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</si>
  <si>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</si>
  <si>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</si>
  <si>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</si>
  <si>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</si>
  <si>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</si>
  <si>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</si>
  <si>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</si>
  <si>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</si>
  <si>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</si>
  <si>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</si>
  <si>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</si>
  <si>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</si>
  <si>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</si>
  <si>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</si>
  <si>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</si>
  <si>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</si>
  <si>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</si>
  <si>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</si>
  <si>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</si>
  <si>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</si>
  <si>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</si>
  <si>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</si>
  <si>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</si>
  <si>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</si>
  <si>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</si>
  <si>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</si>
  <si>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</si>
  <si>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</si>
  <si>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</si>
  <si>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</si>
  <si>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</si>
  <si>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</si>
  <si>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</si>
  <si>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</si>
  <si>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</si>
  <si>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</si>
  <si>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</si>
  <si>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</si>
  <si>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</si>
  <si>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</si>
  <si>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</si>
  <si>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</si>
  <si>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</si>
  <si>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</si>
  <si>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</si>
  <si>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</si>
  <si>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</si>
  <si>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</si>
  <si>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</si>
  <si>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</si>
  <si>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</si>
  <si>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</si>
  <si>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</si>
  <si>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</si>
  <si>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</si>
  <si>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</si>
  <si>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</si>
  <si>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</si>
  <si>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</si>
  <si>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</si>
  <si>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</si>
  <si>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</si>
  <si>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</si>
  <si>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</si>
  <si>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</si>
  <si>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</si>
  <si>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</si>
  <si>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</si>
  <si>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</si>
  <si>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</si>
  <si>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</si>
  <si>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</si>
  <si>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</si>
  <si>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</si>
  <si>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</si>
  <si>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</si>
  <si>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</si>
  <si>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</si>
  <si>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</si>
  <si>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</si>
  <si>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</si>
  <si>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</si>
  <si>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</si>
  <si>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</si>
  <si>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</si>
  <si>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</si>
  <si>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</si>
  <si>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</si>
  <si>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</si>
  <si>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</si>
  <si>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</si>
  <si>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</si>
  <si>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</si>
  <si>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</si>
  <si>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</si>
  <si>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</si>
  <si>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</si>
  <si>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</si>
  <si>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</si>
  <si>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</si>
  <si>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</si>
  <si>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</si>
  <si>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</si>
  <si>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</si>
  <si>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</si>
  <si>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</si>
  <si>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</si>
  <si>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</si>
  <si>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</si>
  <si>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</si>
  <si>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</si>
  <si>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</si>
  <si>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</si>
  <si>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</si>
  <si>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</si>
  <si>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</si>
  <si>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</si>
  <si>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</si>
  <si>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</si>
  <si>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</si>
  <si>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</si>
  <si>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</si>
  <si>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</si>
  <si>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</si>
  <si>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</si>
  <si>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</si>
  <si>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</si>
  <si>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</si>
  <si>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</si>
  <si>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</si>
  <si>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</si>
  <si>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</si>
  <si>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</si>
  <si>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</si>
  <si>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</si>
  <si>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</si>
  <si>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</si>
  <si>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</si>
  <si>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</si>
  <si>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</si>
  <si>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</si>
  <si>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</si>
  <si>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</si>
  <si>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</si>
  <si>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</si>
  <si>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</si>
  <si>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</si>
  <si>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</si>
  <si>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</si>
  <si>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</si>
  <si>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</si>
  <si>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</si>
  <si>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</si>
  <si>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</si>
  <si>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</si>
  <si>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</si>
  <si>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</si>
  <si>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</si>
  <si>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</si>
  <si>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</si>
  <si>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</si>
  <si>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</si>
  <si>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</si>
  <si>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</si>
  <si>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</si>
  <si>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</si>
  <si>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</si>
  <si>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</si>
  <si>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</si>
  <si>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</si>
  <si>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</si>
  <si>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</si>
  <si>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</si>
  <si>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</si>
  <si>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</si>
  <si>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</si>
  <si>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</si>
  <si>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</si>
  <si>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</si>
  <si>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</si>
  <si>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</si>
  <si>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</si>
  <si>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</si>
  <si>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</si>
  <si>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</si>
  <si>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</si>
  <si>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</si>
  <si>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</si>
  <si>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</si>
  <si>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</si>
  <si>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</si>
  <si>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</si>
  <si>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</si>
  <si>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</si>
  <si>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</si>
  <si>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</si>
  <si>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</si>
  <si>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</si>
  <si>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</si>
  <si>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</si>
  <si>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</si>
  <si>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</si>
  <si>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</si>
  <si>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</si>
  <si>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</si>
  <si>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</si>
  <si>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</si>
  <si>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</si>
  <si>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</si>
  <si>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</si>
  <si>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</si>
  <si>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</si>
  <si>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</si>
  <si>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</si>
  <si>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</si>
  <si>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</si>
  <si>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</si>
  <si>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</si>
  <si>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</si>
  <si>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</si>
  <si>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</si>
  <si>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</si>
  <si>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</si>
  <si>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</si>
  <si>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</si>
  <si>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</si>
  <si>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</si>
  <si>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</si>
  <si>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</si>
  <si>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</si>
  <si>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</si>
  <si>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</si>
  <si>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</si>
  <si>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</si>
  <si>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</si>
  <si>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</si>
  <si>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</si>
  <si>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</si>
  <si>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</si>
  <si>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</si>
  <si>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</si>
  <si>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</si>
  <si>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</si>
  <si>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</si>
  <si>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</si>
  <si>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</si>
  <si>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</si>
  <si>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</si>
  <si>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</si>
  <si>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</si>
  <si>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</si>
  <si>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</si>
  <si>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</si>
  <si>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</si>
  <si>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</si>
  <si>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</si>
  <si>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</si>
  <si>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</si>
  <si>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</si>
  <si>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</si>
  <si>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</si>
  <si>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</si>
  <si>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</si>
  <si>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</si>
  <si>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</si>
  <si>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</si>
  <si>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</si>
  <si>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</si>
  <si>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</si>
  <si>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</si>
  <si>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</si>
  <si>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</si>
  <si>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</si>
  <si>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</si>
  <si>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</si>
  <si>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</si>
  <si>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</si>
  <si>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</si>
  <si>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</si>
  <si>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</si>
  <si>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</si>
  <si>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</si>
  <si>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</si>
  <si>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</si>
  <si>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</si>
  <si>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</si>
  <si>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</si>
  <si>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</si>
  <si>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</si>
  <si>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</si>
  <si>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</si>
  <si>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</si>
  <si>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</si>
  <si>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</si>
  <si>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</si>
  <si>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</si>
  <si>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</si>
  <si>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</si>
  <si>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</si>
  <si>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</si>
  <si>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</si>
  <si>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</si>
  <si>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</si>
  <si>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</si>
  <si>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</si>
  <si>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</si>
  <si>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</si>
  <si>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</si>
  <si>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</si>
  <si>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</si>
  <si>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</si>
  <si>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</si>
  <si>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</si>
  <si>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</si>
  <si>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</si>
  <si>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</si>
  <si>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</si>
  <si>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</si>
  <si>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</si>
  <si>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</si>
  <si>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</si>
  <si>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</si>
  <si>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</si>
  <si>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</si>
  <si>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</si>
  <si>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</si>
  <si>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</si>
  <si>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</si>
  <si>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</si>
  <si>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</si>
  <si>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</si>
  <si>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</si>
  <si>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</si>
  <si>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</si>
  <si>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</si>
  <si>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</si>
  <si>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</si>
  <si>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</si>
  <si>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</si>
  <si>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</si>
  <si>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</si>
  <si>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</si>
  <si>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</si>
  <si>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</si>
  <si>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</si>
  <si>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</si>
  <si>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</si>
  <si>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</si>
  <si>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</si>
  <si>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</si>
  <si>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</si>
  <si>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</si>
  <si>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</si>
  <si>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</si>
  <si>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</si>
  <si>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</si>
  <si>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</si>
  <si>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</si>
  <si>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</si>
  <si>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</si>
  <si>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</si>
  <si>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</si>
  <si>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</si>
  <si>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</si>
  <si>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</si>
  <si>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</si>
  <si>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</si>
  <si>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</si>
  <si>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</si>
  <si>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</si>
  <si>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</si>
  <si>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</si>
  <si>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</si>
  <si>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</si>
  <si>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</si>
  <si>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</si>
  <si>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</si>
  <si>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</si>
  <si>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</si>
  <si>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</si>
  <si>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</si>
  <si>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</si>
  <si>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</si>
  <si>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</si>
  <si>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</si>
  <si>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</si>
  <si>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</si>
  <si>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</si>
  <si>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</si>
  <si>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</si>
  <si>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</si>
  <si>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</si>
  <si>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</si>
  <si>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</si>
  <si>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</si>
  <si>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</si>
  <si>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</si>
  <si>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</si>
  <si>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</si>
  <si>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</si>
  <si>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</si>
  <si>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</si>
  <si>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</si>
  <si>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</si>
  <si>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</si>
  <si>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</si>
  <si>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</si>
  <si>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</si>
  <si>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</si>
  <si>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</si>
  <si>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</si>
  <si>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</si>
  <si>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</si>
  <si>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</si>
  <si>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</si>
  <si>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</si>
  <si>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</si>
  <si>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</si>
  <si>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</si>
  <si>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</si>
  <si>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</si>
  <si>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</si>
  <si>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</si>
  <si>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</si>
  <si>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</si>
  <si>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</si>
  <si>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</si>
  <si>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</si>
  <si>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</si>
  <si>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</si>
  <si>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</si>
  <si>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</si>
  <si>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</si>
  <si>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</si>
  <si>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</si>
  <si>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</si>
  <si>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</si>
  <si>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</si>
  <si>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</si>
  <si>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</si>
  <si>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</si>
  <si>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</si>
  <si>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</si>
  <si>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</si>
  <si>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</si>
  <si>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</si>
  <si>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</si>
  <si>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</si>
  <si>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</si>
  <si>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</si>
  <si>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</si>
  <si>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</si>
  <si>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</si>
  <si>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</si>
  <si>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</si>
  <si>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</si>
  <si>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</si>
  <si>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</si>
  <si>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</si>
  <si>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</si>
  <si>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</si>
  <si>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</si>
  <si>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</si>
  <si>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</si>
  <si>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</si>
  <si>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</si>
  <si>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</si>
  <si>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</si>
  <si>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</si>
  <si>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</si>
  <si>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</si>
  <si>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</si>
  <si>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</si>
  <si>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</si>
  <si>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</si>
  <si>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</si>
  <si>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</si>
  <si>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</si>
  <si>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</si>
  <si>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</si>
  <si>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</si>
  <si>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</si>
  <si>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</si>
  <si>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</si>
  <si>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</si>
  <si>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</si>
  <si>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</si>
  <si>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</si>
  <si>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</si>
  <si>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</si>
  <si>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</si>
  <si>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</si>
  <si>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</si>
  <si>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</si>
  <si>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</si>
  <si>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</si>
  <si>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</si>
  <si>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</si>
  <si>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</si>
  <si>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</si>
  <si>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</si>
  <si>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</si>
  <si>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</si>
  <si>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</si>
  <si>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</si>
  <si>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</si>
  <si>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</si>
  <si>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</si>
  <si>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</si>
  <si>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</si>
  <si>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</si>
  <si>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</si>
  <si>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</si>
  <si>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</si>
  <si>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</si>
  <si>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</si>
  <si>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</si>
  <si>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</si>
  <si>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</si>
  <si>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</si>
  <si>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</si>
  <si>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</si>
  <si>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</si>
  <si>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</si>
  <si>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</si>
  <si>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</si>
  <si>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</si>
  <si>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</si>
  <si>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</si>
  <si>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</si>
  <si>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</si>
  <si>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</si>
  <si>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</si>
  <si>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</si>
  <si>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</si>
  <si>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</si>
  <si>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</si>
  <si>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</si>
  <si>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</si>
  <si>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</si>
  <si>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</si>
  <si>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</si>
  <si>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</si>
  <si>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</si>
  <si>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</si>
  <si>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</si>
  <si>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</si>
  <si>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</si>
  <si>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</si>
  <si>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</si>
  <si>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</si>
  <si>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</si>
  <si>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</si>
  <si>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</si>
  <si>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</si>
  <si>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</si>
  <si>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</si>
  <si>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</si>
  <si>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</si>
  <si>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</si>
  <si>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</si>
  <si>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</si>
  <si>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</si>
  <si>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</si>
  <si>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</si>
  <si>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</si>
  <si>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</si>
  <si>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</si>
  <si>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</si>
  <si>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</si>
  <si>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</si>
  <si>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</si>
  <si>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</si>
  <si>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</si>
  <si>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</si>
  <si>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</si>
  <si>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</si>
  <si>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</si>
  <si>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</si>
  <si>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</si>
  <si>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</si>
  <si>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</si>
  <si>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</si>
  <si>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</si>
  <si>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</si>
  <si>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</si>
  <si>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</si>
  <si>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</si>
  <si>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</si>
  <si>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</si>
  <si>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</si>
  <si>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</si>
  <si>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</si>
  <si>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</si>
  <si>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</si>
  <si>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</si>
  <si>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</si>
  <si>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</si>
  <si>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</si>
  <si>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</si>
  <si>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</si>
  <si>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</si>
  <si>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</si>
  <si>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</si>
  <si>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</si>
  <si>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</si>
  <si>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</si>
  <si>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</si>
  <si>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</si>
  <si>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</si>
  <si>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</si>
  <si>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</si>
  <si>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</si>
  <si>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</si>
  <si>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</si>
  <si>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</si>
  <si>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</si>
  <si>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</si>
  <si>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</si>
  <si>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</si>
  <si>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</si>
  <si>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</si>
  <si>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</si>
  <si>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</si>
  <si>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</si>
  <si>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</si>
  <si>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</si>
  <si>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</si>
  <si>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</si>
  <si>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</si>
  <si>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</si>
  <si>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</si>
  <si>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</si>
  <si>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</si>
  <si>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</si>
  <si>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</si>
  <si>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</si>
  <si>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</si>
  <si>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</si>
  <si>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</si>
  <si>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</si>
  <si>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</si>
  <si>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</si>
  <si>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</si>
  <si>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</si>
  <si>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</si>
  <si>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</si>
  <si>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</si>
  <si>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</si>
  <si>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</si>
  <si>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</si>
  <si>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</si>
  <si>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</si>
  <si>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</si>
  <si>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</si>
  <si>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</si>
  <si>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</si>
  <si>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</si>
  <si>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</si>
  <si>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</si>
  <si>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</si>
  <si>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</si>
  <si>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</si>
  <si>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</si>
  <si>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</si>
  <si>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</si>
  <si>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</si>
  <si>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</si>
  <si>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</si>
  <si>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</si>
  <si>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</si>
  <si>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</si>
  <si>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</si>
  <si>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</si>
  <si>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</si>
  <si>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</si>
  <si>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</si>
  <si>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</si>
  <si>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</si>
  <si>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</si>
  <si>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</si>
  <si>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</si>
  <si>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</si>
  <si>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</si>
  <si>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</si>
  <si>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</si>
  <si>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</si>
  <si>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</si>
  <si>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</si>
  <si>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</si>
  <si>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</si>
  <si>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</si>
  <si>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</si>
  <si>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</si>
  <si>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</si>
  <si>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</si>
  <si>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</si>
  <si>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</si>
  <si>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</si>
  <si>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</si>
  <si>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</si>
  <si>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</si>
  <si>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</si>
  <si>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</si>
  <si>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</si>
  <si>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</si>
  <si>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</si>
  <si>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</si>
  <si>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</si>
  <si>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</si>
  <si>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</si>
  <si>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</si>
  <si>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</si>
  <si>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</si>
  <si>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</si>
  <si>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</si>
  <si>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</si>
  <si>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</si>
  <si>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</si>
  <si>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</si>
  <si>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</si>
  <si>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</si>
  <si>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</si>
  <si>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</si>
  <si>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</si>
  <si>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</si>
  <si>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</si>
  <si>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</si>
  <si>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</si>
  <si>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</si>
  <si>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</si>
  <si>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</si>
  <si>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</si>
  <si>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</si>
  <si>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</si>
  <si>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</si>
  <si>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</si>
  <si>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</si>
  <si>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</si>
  <si>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</si>
  <si>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</si>
  <si>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</si>
  <si>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</si>
  <si>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</si>
  <si>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</si>
  <si>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</si>
  <si>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</si>
  <si>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</si>
  <si>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</si>
  <si>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</si>
  <si>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</si>
  <si>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</si>
  <si>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</si>
  <si>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</si>
  <si>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</si>
  <si>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</si>
  <si>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</si>
  <si>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</si>
  <si>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</si>
  <si>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</si>
  <si>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</si>
  <si>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</si>
  <si>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</si>
  <si>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</si>
  <si>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</si>
  <si>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</si>
  <si>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</si>
  <si>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</si>
  <si>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</si>
  <si>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</si>
  <si>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</si>
  <si>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</si>
  <si>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</si>
  <si>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</si>
  <si>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</si>
  <si>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</si>
  <si>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</si>
  <si>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</si>
  <si>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</si>
  <si>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</si>
  <si>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</si>
  <si>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</si>
  <si>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</si>
  <si>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</si>
  <si>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</si>
  <si>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</si>
  <si>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</si>
  <si>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</si>
  <si>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</si>
  <si>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</si>
  <si>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</si>
  <si>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</si>
  <si>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</si>
  <si>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</si>
  <si>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</si>
  <si>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</si>
  <si>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</si>
  <si>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</si>
  <si>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</si>
  <si>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</si>
  <si>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</si>
  <si>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</si>
  <si>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</si>
  <si>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</si>
  <si>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</si>
  <si>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</si>
  <si>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</si>
  <si>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</si>
  <si>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</si>
  <si>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</si>
  <si>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</si>
  <si>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</si>
  <si>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</si>
  <si>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</si>
  <si>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</si>
  <si>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</si>
  <si>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</si>
  <si>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</si>
  <si>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</si>
  <si>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</si>
  <si>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</si>
  <si>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</si>
  <si>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</si>
  <si>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</si>
  <si>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</si>
  <si>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</si>
  <si>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</si>
  <si>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</si>
  <si>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</si>
  <si>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</si>
  <si>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</si>
  <si>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</si>
  <si>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</si>
  <si>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</si>
  <si>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</si>
  <si>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</si>
  <si>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</si>
  <si>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</si>
  <si>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</si>
  <si>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</si>
  <si>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</si>
  <si>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</si>
  <si>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</si>
  <si>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</si>
  <si>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</si>
  <si>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</si>
  <si>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</si>
  <si>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</si>
  <si>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</si>
  <si>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</si>
  <si>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</si>
  <si>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</si>
  <si>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</si>
  <si>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</si>
  <si>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</si>
  <si>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</si>
  <si>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</si>
  <si>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</si>
  <si>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</si>
  <si>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</si>
  <si>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</si>
  <si>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</si>
  <si>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</si>
  <si>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</si>
  <si>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</si>
  <si>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</si>
  <si>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</si>
  <si>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</si>
  <si>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</si>
  <si>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</si>
  <si>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</si>
  <si>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</si>
  <si>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</si>
  <si>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</si>
  <si>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</si>
  <si>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</si>
  <si>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</si>
  <si>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</si>
  <si>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</si>
  <si>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</si>
  <si>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</si>
  <si>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</si>
  <si>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</si>
  <si>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</si>
  <si>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</si>
  <si>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</si>
  <si>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</si>
  <si>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</si>
  <si>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</si>
  <si>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</si>
  <si>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</si>
  <si>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</si>
  <si>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</si>
  <si>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</si>
  <si>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</si>
  <si>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</si>
  <si>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</si>
  <si>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</si>
  <si>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</si>
  <si>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</si>
  <si>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</si>
  <si>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</si>
  <si>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</si>
  <si>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</si>
  <si>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</si>
  <si>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</si>
  <si>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</si>
  <si>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</si>
  <si>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</si>
  <si>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</si>
  <si>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</si>
  <si>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</si>
  <si>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</si>
  <si>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</si>
  <si>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</si>
  <si>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</si>
  <si>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</si>
  <si>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</si>
  <si>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</si>
  <si>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</si>
  <si>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</si>
  <si>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</si>
  <si>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</si>
  <si>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</si>
  <si>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</si>
  <si>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</si>
  <si>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</si>
  <si>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</si>
  <si>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</si>
  <si>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</si>
  <si>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</si>
  <si>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</si>
  <si>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</si>
  <si>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</si>
  <si>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</si>
  <si>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</si>
  <si>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</si>
  <si>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</si>
  <si>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</si>
  <si>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</si>
  <si>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</si>
  <si>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</si>
  <si>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</si>
  <si>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</si>
  <si>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</si>
  <si>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</si>
  <si>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</si>
  <si>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</si>
  <si>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</si>
  <si>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</si>
  <si>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</si>
  <si>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</si>
  <si>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</si>
  <si>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</si>
  <si>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</si>
  <si>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</si>
  <si>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</si>
  <si>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</si>
  <si>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</si>
  <si>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</si>
  <si>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</si>
  <si>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</si>
  <si>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</si>
  <si>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</si>
  <si>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</si>
  <si>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</si>
  <si>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</si>
  <si>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</si>
  <si>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</si>
  <si>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</si>
  <si>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</si>
  <si>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</si>
  <si>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</si>
  <si>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</si>
  <si>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</si>
  <si>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</si>
  <si>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</si>
  <si>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</si>
  <si>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</si>
  <si>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</si>
  <si>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</si>
  <si>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</si>
  <si>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</si>
  <si>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</si>
  <si>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</si>
  <si>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</si>
  <si>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</si>
  <si>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</si>
  <si>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</si>
  <si>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</si>
  <si>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</si>
  <si>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</si>
  <si>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</si>
  <si>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</si>
  <si>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</si>
  <si>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</si>
  <si>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</si>
  <si>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</si>
  <si>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</si>
  <si>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</si>
  <si>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</si>
  <si>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</si>
  <si>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</si>
  <si>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</si>
  <si>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</si>
  <si>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</si>
  <si>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</si>
  <si>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-3.4K Quik Wash</t>
  </si>
  <si>
    <t>Produits lavages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</si>
  <si>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</si>
  <si>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</si>
  <si>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</si>
  <si>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</si>
  <si>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</si>
  <si>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</si>
  <si>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</si>
  <si>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</si>
  <si>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</si>
  <si>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</si>
  <si>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</si>
  <si>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</si>
  <si>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</si>
  <si>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</si>
  <si>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</si>
  <si>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</si>
  <si>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</si>
  <si>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</si>
  <si>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</si>
  <si>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</si>
  <si>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</si>
  <si>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</si>
  <si>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</si>
  <si>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</si>
  <si>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Réalisé  Q3 2025</t>
  </si>
  <si>
    <t>Peinture</t>
  </si>
  <si>
    <t>Q3</t>
  </si>
  <si>
    <t>_</t>
  </si>
  <si>
    <t>ASSURANCES PAYES D'AVANCE</t>
  </si>
  <si>
    <t>270D</t>
  </si>
  <si>
    <t>DEPOT HYDRO</t>
  </si>
  <si>
    <t>290A</t>
  </si>
  <si>
    <t>DEPOT ENERGIR</t>
  </si>
  <si>
    <t>290B</t>
  </si>
  <si>
    <t>GOODWILLL</t>
  </si>
  <si>
    <t>AVANCE 13721515 CANADA INC</t>
  </si>
  <si>
    <t>AVANCE HYUNDAY LONGUEUIL</t>
  </si>
  <si>
    <t>297A</t>
  </si>
  <si>
    <t>PROTECTION LGM A/P</t>
  </si>
  <si>
    <t>PRET BANQUE TD</t>
  </si>
  <si>
    <t>335</t>
  </si>
  <si>
    <t>A PAYER GROUPE PARK AVENUE</t>
  </si>
  <si>
    <t>VTES -VTE - TRAITEMENT PROTECTION NEUF BMW AU</t>
  </si>
  <si>
    <t>C/V - TRAITEMENT PROTECTION NEUF BMW AUTO</t>
  </si>
  <si>
    <t>675</t>
  </si>
  <si>
    <t>AVANCE 9548-3442 QC INC (IMMO)</t>
  </si>
  <si>
    <t>297B</t>
  </si>
  <si>
    <t>Permis de la ville</t>
  </si>
  <si>
    <t>Reste réserve de 17686$ sur le montant transféré de GPA</t>
  </si>
  <si>
    <t>Prov Essence dec - profits sur échange entre concessionnaire</t>
  </si>
  <si>
    <t>Préparation show room - Quick out à la demande</t>
  </si>
  <si>
    <t>Flat + salaire de base</t>
  </si>
  <si>
    <t>30% Nadia + 2.3% vendeurs</t>
  </si>
  <si>
    <t>30% Nadia + 2.7% vendeurs</t>
  </si>
  <si>
    <t>Prov essence</t>
  </si>
  <si>
    <t>Rep bosse</t>
  </si>
  <si>
    <t>Carfax</t>
  </si>
  <si>
    <t>BMO 1-2 dec + TD 3-31 dec</t>
  </si>
  <si>
    <t>Manque bonis cadres</t>
  </si>
  <si>
    <t>Pas de charge GPA et pas de secrétaire aux ventes</t>
  </si>
  <si>
    <t>Pas sal GPA et secrétaire ventes</t>
  </si>
  <si>
    <t>Pas sal GPA</t>
  </si>
  <si>
    <t>Pas sal GPA et préposé claims</t>
  </si>
  <si>
    <t>Laveurs non budgeté (25% Christopher)</t>
  </si>
  <si>
    <t>Jours absences + bonis inférieur</t>
  </si>
  <si>
    <t>Laveurs non budgeté</t>
  </si>
  <si>
    <t>Bonis vente inférieur</t>
  </si>
  <si>
    <t>Absorbé par bâtisse en dec</t>
  </si>
  <si>
    <t>Prov au prorata selon debut dec</t>
  </si>
  <si>
    <t>Peu entreposage</t>
  </si>
  <si>
    <t>Pas de dépréciation</t>
  </si>
  <si>
    <t>+5k SD solution, -5k GPA, +HR4, + Talksoon (était en pub)</t>
  </si>
  <si>
    <t>+3.8k CCAQ, +3.4k sous-trait claims, -3.4k sous-trait Quick wash</t>
  </si>
  <si>
    <t>+624$ Cimtel</t>
  </si>
  <si>
    <t>Pas de provision pour dommage de cours</t>
  </si>
  <si>
    <t>Axifuge, SM360, Radio (-COOP)</t>
  </si>
  <si>
    <t>Otogo - crédit pub vente</t>
  </si>
  <si>
    <t>FRAIS DE PRETS</t>
  </si>
  <si>
    <t>270E</t>
  </si>
  <si>
    <t>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</si>
</sst>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63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Arial mt"/>
    </font>
  </fonts>
  <fills count="3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6E3FF"/>
        <bgColor indexed="64"/>
      </patternFill>
    </fill>
  </fills>
  <borders count="24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91">
    <xf numFmtId="0" fontId="0" fillId="0" borderId="0"/>
    <xf numFmtId="9" fontId="110" fillId="0" borderId="0" applyFont="0" applyFill="0" applyBorder="0" applyAlignment="0" applyProtection="0"/>
    <xf numFmtId="0" fontId="73" fillId="0" borderId="1"/>
    <xf numFmtId="0" fontId="72" fillId="0" borderId="1"/>
    <xf numFmtId="9" fontId="72" fillId="0" borderId="1" applyFont="0" applyFill="0" applyBorder="0" applyAlignment="0" applyProtection="0"/>
    <xf numFmtId="0" fontId="71" fillId="0" borderId="1"/>
    <xf numFmtId="0" fontId="70" fillId="0" borderId="1"/>
    <xf numFmtId="0" fontId="69" fillId="0" borderId="1"/>
    <xf numFmtId="0" fontId="68" fillId="0" borderId="1"/>
    <xf numFmtId="0" fontId="67" fillId="0" borderId="1"/>
    <xf numFmtId="0" fontId="110" fillId="0" borderId="1"/>
    <xf numFmtId="0" fontId="65" fillId="0" borderId="1"/>
    <xf numFmtId="0" fontId="64" fillId="0" borderId="1"/>
    <xf numFmtId="0" fontId="63" fillId="0" borderId="1"/>
    <xf numFmtId="0" fontId="60" fillId="0" borderId="1"/>
    <xf numFmtId="0" fontId="59" fillId="0" borderId="1"/>
    <xf numFmtId="9" fontId="110" fillId="0" borderId="1" applyFont="0" applyFill="0" applyBorder="0" applyAlignment="0" applyProtection="0"/>
    <xf numFmtId="0" fontId="59" fillId="0" borderId="1"/>
    <xf numFmtId="9" fontId="59" fillId="0" borderId="1" applyFont="0" applyFill="0" applyBorder="0" applyAlignment="0" applyProtection="0"/>
    <xf numFmtId="0" fontId="145" fillId="0" borderId="1"/>
    <xf numFmtId="0" fontId="146" fillId="0" borderId="1"/>
    <xf numFmtId="0" fontId="58" fillId="0" borderId="1"/>
    <xf numFmtId="0" fontId="57" fillId="0" borderId="1"/>
    <xf numFmtId="0" fontId="56" fillId="0" borderId="1"/>
    <xf numFmtId="0" fontId="56" fillId="0" borderId="1"/>
    <xf numFmtId="9" fontId="56" fillId="0" borderId="1" applyFont="0" applyFill="0" applyBorder="0" applyAlignment="0" applyProtection="0"/>
    <xf numFmtId="0" fontId="56" fillId="0" borderId="1"/>
    <xf numFmtId="0" fontId="54" fillId="0" borderId="1"/>
    <xf numFmtId="0" fontId="53" fillId="0" borderId="1"/>
    <xf numFmtId="0" fontId="53" fillId="0" borderId="1"/>
    <xf numFmtId="9" fontId="53" fillId="0" borderId="1" applyFont="0" applyFill="0" applyBorder="0" applyAlignment="0" applyProtection="0"/>
    <xf numFmtId="0" fontId="53" fillId="0" borderId="1"/>
    <xf numFmtId="0" fontId="52" fillId="0" borderId="1"/>
    <xf numFmtId="0" fontId="50" fillId="0" borderId="1"/>
    <xf numFmtId="0" fontId="50" fillId="0" borderId="1"/>
    <xf numFmtId="9" fontId="50" fillId="0" borderId="1" applyFont="0" applyFill="0" applyBorder="0" applyAlignment="0" applyProtection="0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6" fillId="0" borderId="1"/>
    <xf numFmtId="0" fontId="46" fillId="0" borderId="1"/>
    <xf numFmtId="9" fontId="46" fillId="0" borderId="1" applyFont="0" applyFill="0" applyBorder="0" applyAlignment="0" applyProtection="0"/>
    <xf numFmtId="0" fontId="46" fillId="0" borderId="1"/>
    <xf numFmtId="0" fontId="45" fillId="0" borderId="1"/>
    <xf numFmtId="0" fontId="45" fillId="0" borderId="1"/>
    <xf numFmtId="9" fontId="45" fillId="0" borderId="1" applyFont="0" applyFill="0" applyBorder="0" applyAlignment="0" applyProtection="0"/>
    <xf numFmtId="0" fontId="45" fillId="0" borderId="1"/>
    <xf numFmtId="0" fontId="43" fillId="0" borderId="1"/>
    <xf numFmtId="0" fontId="41" fillId="0" borderId="1"/>
    <xf numFmtId="0" fontId="41" fillId="0" borderId="1"/>
    <xf numFmtId="9" fontId="41" fillId="0" borderId="1" applyFont="0" applyFill="0" applyBorder="0" applyAlignment="0" applyProtection="0"/>
    <xf numFmtId="44" fontId="41" fillId="0" borderId="1" applyFont="0" applyFill="0" applyBorder="0" applyAlignment="0" applyProtection="0"/>
    <xf numFmtId="0" fontId="40" fillId="0" borderId="1"/>
    <xf numFmtId="0" fontId="39" fillId="0" borderId="1"/>
    <xf numFmtId="0" fontId="38" fillId="0" borderId="1"/>
    <xf numFmtId="0" fontId="36" fillId="0" borderId="1"/>
    <xf numFmtId="0" fontId="35" fillId="0" borderId="1"/>
    <xf numFmtId="0" fontId="34" fillId="0" borderId="1"/>
    <xf numFmtId="0" fontId="31" fillId="0" borderId="1"/>
    <xf numFmtId="0" fontId="30" fillId="0" borderId="1"/>
    <xf numFmtId="0" fontId="29" fillId="0" borderId="1"/>
    <xf numFmtId="0" fontId="28" fillId="0" borderId="1"/>
    <xf numFmtId="0" fontId="27" fillId="0" borderId="1"/>
    <xf numFmtId="164" fontId="159" fillId="0" borderId="0" applyFont="0" applyFill="0" applyBorder="0" applyAlignment="0" applyProtection="0"/>
    <xf numFmtId="0" fontId="123" fillId="0" borderId="1"/>
    <xf numFmtId="0" fontId="25" fillId="0" borderId="1"/>
    <xf numFmtId="0" fontId="23" fillId="0" borderId="1"/>
    <xf numFmtId="0" fontId="22" fillId="0" borderId="1"/>
    <xf numFmtId="0" fontId="21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4" fillId="0" borderId="1"/>
    <xf numFmtId="0" fontId="13" fillId="0" borderId="1"/>
    <xf numFmtId="0" fontId="10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0" fontId="2" fillId="0" borderId="1"/>
    <xf numFmtId="0" fontId="1" fillId="0" borderId="1"/>
  </cellStyleXfs>
  <cellXfs count="1315">
    <xf numFmtId="0" fontId="0" fillId="0" borderId="0" xfId="0"/>
    <xf numFmtId="0" fontId="74" fillId="0" borderId="0" xfId="0" applyFont="1"/>
    <xf numFmtId="0" fontId="75" fillId="0" borderId="0" xfId="0" applyFont="1"/>
    <xf numFmtId="0" fontId="75" fillId="2" borderId="1" xfId="0" applyFont="1" applyFill="1" applyBorder="1" applyAlignment="1">
      <alignment horizontal="center"/>
    </xf>
    <xf numFmtId="0" fontId="76" fillId="0" borderId="0" xfId="0" applyFont="1" applyAlignment="1">
      <alignment horizontal="left"/>
    </xf>
    <xf numFmtId="0" fontId="77" fillId="0" borderId="0" xfId="0" applyFont="1" applyAlignment="1">
      <alignment horizontal="center"/>
    </xf>
    <xf numFmtId="0" fontId="77" fillId="0" borderId="0" xfId="0" applyFont="1" applyAlignment="1">
      <alignment horizontal="right"/>
    </xf>
    <xf numFmtId="0" fontId="76" fillId="0" borderId="0" xfId="0" applyFont="1"/>
    <xf numFmtId="0" fontId="78" fillId="0" borderId="2" xfId="0" applyFont="1" applyBorder="1"/>
    <xf numFmtId="0" fontId="80" fillId="0" borderId="4" xfId="0" applyFont="1" applyBorder="1"/>
    <xf numFmtId="0" fontId="78" fillId="0" borderId="6" xfId="0" applyFont="1" applyBorder="1"/>
    <xf numFmtId="0" fontId="80" fillId="0" borderId="6" xfId="0" applyFont="1" applyBorder="1"/>
    <xf numFmtId="0" fontId="80" fillId="3" borderId="8" xfId="0" applyFont="1" applyFill="1" applyBorder="1"/>
    <xf numFmtId="0" fontId="80" fillId="3" borderId="10" xfId="0" applyFont="1" applyFill="1" applyBorder="1"/>
    <xf numFmtId="0" fontId="79" fillId="0" borderId="6" xfId="0" applyFont="1" applyBorder="1"/>
    <xf numFmtId="167" fontId="75" fillId="0" borderId="0" xfId="0" applyNumberFormat="1" applyFont="1"/>
    <xf numFmtId="0" fontId="75" fillId="0" borderId="6" xfId="0" applyFont="1" applyBorder="1"/>
    <xf numFmtId="168" fontId="75" fillId="0" borderId="0" xfId="0" applyNumberFormat="1" applyFont="1"/>
    <xf numFmtId="0" fontId="77" fillId="0" borderId="0" xfId="0" applyFont="1"/>
    <xf numFmtId="0" fontId="82" fillId="0" borderId="0" xfId="0" applyFont="1" applyAlignment="1">
      <alignment horizontal="center" vertical="center"/>
    </xf>
    <xf numFmtId="3" fontId="77" fillId="0" borderId="0" xfId="0" applyNumberFormat="1" applyFont="1"/>
    <xf numFmtId="0" fontId="82" fillId="0" borderId="0" xfId="0" applyFont="1"/>
    <xf numFmtId="169" fontId="83" fillId="0" borderId="0" xfId="0" applyNumberFormat="1" applyFont="1" applyAlignment="1">
      <alignment horizontal="left"/>
    </xf>
    <xf numFmtId="0" fontId="83" fillId="0" borderId="0" xfId="0" applyFont="1"/>
    <xf numFmtId="0" fontId="84" fillId="0" borderId="0" xfId="0" applyFont="1"/>
    <xf numFmtId="0" fontId="85" fillId="0" borderId="0" xfId="0" applyFont="1"/>
    <xf numFmtId="37" fontId="86" fillId="3" borderId="14" xfId="0" applyNumberFormat="1" applyFont="1" applyFill="1" applyBorder="1"/>
    <xf numFmtId="3" fontId="86" fillId="3" borderId="14" xfId="0" applyNumberFormat="1" applyFont="1" applyFill="1" applyBorder="1"/>
    <xf numFmtId="37" fontId="86" fillId="3" borderId="9" xfId="0" applyNumberFormat="1" applyFont="1" applyFill="1" applyBorder="1"/>
    <xf numFmtId="37" fontId="86" fillId="3" borderId="8" xfId="0" applyNumberFormat="1" applyFont="1" applyFill="1" applyBorder="1"/>
    <xf numFmtId="171" fontId="86" fillId="3" borderId="14" xfId="0" applyNumberFormat="1" applyFont="1" applyFill="1" applyBorder="1"/>
    <xf numFmtId="0" fontId="86" fillId="3" borderId="10" xfId="0" applyFont="1" applyFill="1" applyBorder="1"/>
    <xf numFmtId="0" fontId="86" fillId="3" borderId="11" xfId="0" applyFont="1" applyFill="1" applyBorder="1"/>
    <xf numFmtId="170" fontId="86" fillId="3" borderId="10" xfId="0" applyNumberFormat="1" applyFont="1" applyFill="1" applyBorder="1"/>
    <xf numFmtId="170" fontId="86" fillId="3" borderId="11" xfId="0" applyNumberFormat="1" applyFont="1" applyFill="1" applyBorder="1"/>
    <xf numFmtId="0" fontId="86" fillId="4" borderId="1" xfId="0" applyFont="1" applyFill="1" applyBorder="1"/>
    <xf numFmtId="0" fontId="85" fillId="0" borderId="0" xfId="0" applyFont="1" applyAlignment="1">
      <alignment horizontal="right"/>
    </xf>
    <xf numFmtId="37" fontId="85" fillId="0" borderId="0" xfId="0" applyNumberFormat="1" applyFont="1"/>
    <xf numFmtId="0" fontId="86" fillId="3" borderId="16" xfId="0" applyFont="1" applyFill="1" applyBorder="1"/>
    <xf numFmtId="0" fontId="86" fillId="3" borderId="17" xfId="0" applyFont="1" applyFill="1" applyBorder="1" applyAlignment="1">
      <alignment horizontal="center"/>
    </xf>
    <xf numFmtId="170" fontId="86" fillId="3" borderId="17" xfId="0" applyNumberFormat="1" applyFont="1" applyFill="1" applyBorder="1"/>
    <xf numFmtId="37" fontId="86" fillId="3" borderId="18" xfId="0" applyNumberFormat="1" applyFont="1" applyFill="1" applyBorder="1"/>
    <xf numFmtId="0" fontId="86" fillId="3" borderId="16" xfId="0" applyFont="1" applyFill="1" applyBorder="1" applyAlignment="1">
      <alignment horizontal="center"/>
    </xf>
    <xf numFmtId="0" fontId="85" fillId="3" borderId="13" xfId="0" applyFont="1" applyFill="1" applyBorder="1"/>
    <xf numFmtId="0" fontId="85" fillId="3" borderId="16" xfId="0" applyFont="1" applyFill="1" applyBorder="1"/>
    <xf numFmtId="37" fontId="86" fillId="0" borderId="0" xfId="0" applyNumberFormat="1" applyFont="1"/>
    <xf numFmtId="37" fontId="86" fillId="3" borderId="19" xfId="0" applyNumberFormat="1" applyFont="1" applyFill="1" applyBorder="1"/>
    <xf numFmtId="0" fontId="85" fillId="4" borderId="1" xfId="0" applyFont="1" applyFill="1" applyBorder="1"/>
    <xf numFmtId="37" fontId="86" fillId="4" borderId="15" xfId="0" applyNumberFormat="1" applyFont="1" applyFill="1" applyBorder="1"/>
    <xf numFmtId="0" fontId="85" fillId="4" borderId="12" xfId="0" applyFont="1" applyFill="1" applyBorder="1"/>
    <xf numFmtId="0" fontId="85" fillId="4" borderId="13" xfId="0" applyFont="1" applyFill="1" applyBorder="1"/>
    <xf numFmtId="0" fontId="85" fillId="4" borderId="22" xfId="0" applyFont="1" applyFill="1" applyBorder="1"/>
    <xf numFmtId="37" fontId="86" fillId="4" borderId="19" xfId="0" applyNumberFormat="1" applyFont="1" applyFill="1" applyBorder="1"/>
    <xf numFmtId="0" fontId="89" fillId="0" borderId="0" xfId="0" applyFont="1"/>
    <xf numFmtId="0" fontId="90" fillId="0" borderId="0" xfId="0" applyFont="1"/>
    <xf numFmtId="37" fontId="90" fillId="0" borderId="0" xfId="0" applyNumberFormat="1" applyFont="1"/>
    <xf numFmtId="0" fontId="86" fillId="0" borderId="0" xfId="0" applyFont="1"/>
    <xf numFmtId="37" fontId="83" fillId="0" borderId="0" xfId="0" applyNumberFormat="1" applyFont="1"/>
    <xf numFmtId="37" fontId="86" fillId="4" borderId="14" xfId="0" applyNumberFormat="1" applyFont="1" applyFill="1" applyBorder="1"/>
    <xf numFmtId="37" fontId="86" fillId="4" borderId="9" xfId="0" applyNumberFormat="1" applyFont="1" applyFill="1" applyBorder="1"/>
    <xf numFmtId="37" fontId="86" fillId="4" borderId="8" xfId="0" applyNumberFormat="1" applyFont="1" applyFill="1" applyBorder="1"/>
    <xf numFmtId="170" fontId="86" fillId="4" borderId="8" xfId="0" applyNumberFormat="1" applyFont="1" applyFill="1" applyBorder="1"/>
    <xf numFmtId="37" fontId="86" fillId="4" borderId="22" xfId="0" applyNumberFormat="1" applyFont="1" applyFill="1" applyBorder="1"/>
    <xf numFmtId="170" fontId="86" fillId="4" borderId="19" xfId="0" applyNumberFormat="1" applyFont="1" applyFill="1" applyBorder="1"/>
    <xf numFmtId="37" fontId="86" fillId="4" borderId="13" xfId="0" applyNumberFormat="1" applyFont="1" applyFill="1" applyBorder="1"/>
    <xf numFmtId="39" fontId="86" fillId="4" borderId="22" xfId="0" applyNumberFormat="1" applyFont="1" applyFill="1" applyBorder="1"/>
    <xf numFmtId="37" fontId="86" fillId="4" borderId="24" xfId="0" applyNumberFormat="1" applyFont="1" applyFill="1" applyBorder="1"/>
    <xf numFmtId="171" fontId="86" fillId="4" borderId="24" xfId="0" applyNumberFormat="1" applyFont="1" applyFill="1" applyBorder="1"/>
    <xf numFmtId="37" fontId="86" fillId="4" borderId="25" xfId="0" applyNumberFormat="1" applyFont="1" applyFill="1" applyBorder="1"/>
    <xf numFmtId="37" fontId="86" fillId="4" borderId="23" xfId="0" applyNumberFormat="1" applyFont="1" applyFill="1" applyBorder="1"/>
    <xf numFmtId="170" fontId="86" fillId="3" borderId="8" xfId="0" applyNumberFormat="1" applyFont="1" applyFill="1" applyBorder="1"/>
    <xf numFmtId="170" fontId="86" fillId="3" borderId="14" xfId="0" applyNumberFormat="1" applyFont="1" applyFill="1" applyBorder="1"/>
    <xf numFmtId="170" fontId="86" fillId="3" borderId="26" xfId="0" applyNumberFormat="1" applyFont="1" applyFill="1" applyBorder="1"/>
    <xf numFmtId="37" fontId="86" fillId="3" borderId="27" xfId="0" applyNumberFormat="1" applyFont="1" applyFill="1" applyBorder="1"/>
    <xf numFmtId="37" fontId="86" fillId="3" borderId="29" xfId="0" applyNumberFormat="1" applyFont="1" applyFill="1" applyBorder="1"/>
    <xf numFmtId="171" fontId="86" fillId="3" borderId="29" xfId="0" applyNumberFormat="1" applyFont="1" applyFill="1" applyBorder="1"/>
    <xf numFmtId="37" fontId="86" fillId="3" borderId="30" xfId="0" applyNumberFormat="1" applyFont="1" applyFill="1" applyBorder="1"/>
    <xf numFmtId="37" fontId="86" fillId="3" borderId="28" xfId="0" applyNumberFormat="1" applyFont="1" applyFill="1" applyBorder="1"/>
    <xf numFmtId="0" fontId="85" fillId="3" borderId="10" xfId="0" applyFont="1" applyFill="1" applyBorder="1"/>
    <xf numFmtId="0" fontId="93" fillId="0" borderId="0" xfId="0" applyFont="1"/>
    <xf numFmtId="0" fontId="82" fillId="0" borderId="0" xfId="0" applyFont="1" applyAlignment="1">
      <alignment horizontal="right" vertical="center"/>
    </xf>
    <xf numFmtId="0" fontId="94" fillId="3" borderId="22" xfId="0" applyFont="1" applyFill="1" applyBorder="1"/>
    <xf numFmtId="37" fontId="94" fillId="3" borderId="32" xfId="0" applyNumberFormat="1" applyFont="1" applyFill="1" applyBorder="1"/>
    <xf numFmtId="37" fontId="94" fillId="3" borderId="33" xfId="0" applyNumberFormat="1" applyFont="1" applyFill="1" applyBorder="1"/>
    <xf numFmtId="37" fontId="94" fillId="3" borderId="22" xfId="0" applyNumberFormat="1" applyFont="1" applyFill="1" applyBorder="1"/>
    <xf numFmtId="170" fontId="94" fillId="3" borderId="22" xfId="0" applyNumberFormat="1" applyFont="1" applyFill="1" applyBorder="1"/>
    <xf numFmtId="37" fontId="94" fillId="3" borderId="34" xfId="0" applyNumberFormat="1" applyFont="1" applyFill="1" applyBorder="1"/>
    <xf numFmtId="37" fontId="88" fillId="0" borderId="35" xfId="0" applyNumberFormat="1" applyFont="1" applyBorder="1"/>
    <xf numFmtId="0" fontId="94" fillId="3" borderId="17" xfId="0" applyFont="1" applyFill="1" applyBorder="1"/>
    <xf numFmtId="170" fontId="94" fillId="3" borderId="17" xfId="0" applyNumberFormat="1" applyFont="1" applyFill="1" applyBorder="1"/>
    <xf numFmtId="37" fontId="94" fillId="3" borderId="21" xfId="0" applyNumberFormat="1" applyFont="1" applyFill="1" applyBorder="1"/>
    <xf numFmtId="170" fontId="94" fillId="3" borderId="20" xfId="0" applyNumberFormat="1" applyFont="1" applyFill="1" applyBorder="1"/>
    <xf numFmtId="0" fontId="94" fillId="3" borderId="20" xfId="0" applyFont="1" applyFill="1" applyBorder="1"/>
    <xf numFmtId="37" fontId="94" fillId="3" borderId="17" xfId="0" applyNumberFormat="1" applyFont="1" applyFill="1" applyBorder="1"/>
    <xf numFmtId="0" fontId="94" fillId="3" borderId="36" xfId="0" applyFont="1" applyFill="1" applyBorder="1"/>
    <xf numFmtId="43" fontId="83" fillId="0" borderId="0" xfId="0" applyNumberFormat="1" applyFont="1"/>
    <xf numFmtId="43" fontId="93" fillId="0" borderId="0" xfId="0" applyNumberFormat="1" applyFont="1"/>
    <xf numFmtId="170" fontId="88" fillId="0" borderId="35" xfId="0" applyNumberFormat="1" applyFont="1" applyBorder="1"/>
    <xf numFmtId="171" fontId="94" fillId="3" borderId="17" xfId="0" applyNumberFormat="1" applyFont="1" applyFill="1" applyBorder="1"/>
    <xf numFmtId="37" fontId="94" fillId="3" borderId="20" xfId="0" applyNumberFormat="1" applyFont="1" applyFill="1" applyBorder="1"/>
    <xf numFmtId="37" fontId="94" fillId="3" borderId="36" xfId="0" applyNumberFormat="1" applyFont="1" applyFill="1" applyBorder="1"/>
    <xf numFmtId="37" fontId="93" fillId="0" borderId="0" xfId="0" applyNumberFormat="1" applyFont="1"/>
    <xf numFmtId="168" fontId="93" fillId="0" borderId="0" xfId="0" applyNumberFormat="1" applyFont="1"/>
    <xf numFmtId="0" fontId="88" fillId="3" borderId="17" xfId="0" applyFont="1" applyFill="1" applyBorder="1"/>
    <xf numFmtId="0" fontId="93" fillId="4" borderId="1" xfId="0" applyFont="1" applyFill="1" applyBorder="1"/>
    <xf numFmtId="0" fontId="88" fillId="0" borderId="35" xfId="0" applyFont="1" applyBorder="1"/>
    <xf numFmtId="37" fontId="88" fillId="4" borderId="37" xfId="0" applyNumberFormat="1" applyFont="1" applyFill="1" applyBorder="1"/>
    <xf numFmtId="0" fontId="94" fillId="4" borderId="24" xfId="0" applyFont="1" applyFill="1" applyBorder="1"/>
    <xf numFmtId="37" fontId="94" fillId="4" borderId="24" xfId="0" applyNumberFormat="1" applyFont="1" applyFill="1" applyBorder="1"/>
    <xf numFmtId="170" fontId="88" fillId="3" borderId="20" xfId="0" applyNumberFormat="1" applyFont="1" applyFill="1" applyBorder="1"/>
    <xf numFmtId="170" fontId="88" fillId="3" borderId="17" xfId="0" applyNumberFormat="1" applyFont="1" applyFill="1" applyBorder="1"/>
    <xf numFmtId="37" fontId="88" fillId="3" borderId="36" xfId="0" applyNumberFormat="1" applyFont="1" applyFill="1" applyBorder="1"/>
    <xf numFmtId="0" fontId="88" fillId="4" borderId="24" xfId="0" applyFont="1" applyFill="1" applyBorder="1"/>
    <xf numFmtId="37" fontId="88" fillId="4" borderId="24" xfId="0" applyNumberFormat="1" applyFont="1" applyFill="1" applyBorder="1"/>
    <xf numFmtId="37" fontId="88" fillId="4" borderId="38" xfId="0" applyNumberFormat="1" applyFont="1" applyFill="1" applyBorder="1"/>
    <xf numFmtId="37" fontId="88" fillId="4" borderId="1" xfId="0" applyNumberFormat="1" applyFont="1" applyFill="1" applyBorder="1"/>
    <xf numFmtId="170" fontId="88" fillId="4" borderId="1" xfId="0" applyNumberFormat="1" applyFont="1" applyFill="1" applyBorder="1"/>
    <xf numFmtId="170" fontId="88" fillId="4" borderId="38" xfId="0" applyNumberFormat="1" applyFont="1" applyFill="1" applyBorder="1"/>
    <xf numFmtId="170" fontId="88" fillId="4" borderId="24" xfId="0" applyNumberFormat="1" applyFont="1" applyFill="1" applyBorder="1"/>
    <xf numFmtId="37" fontId="88" fillId="4" borderId="42" xfId="0" applyNumberFormat="1" applyFont="1" applyFill="1" applyBorder="1"/>
    <xf numFmtId="39" fontId="88" fillId="0" borderId="0" xfId="0" applyNumberFormat="1" applyFont="1"/>
    <xf numFmtId="37" fontId="93" fillId="0" borderId="35" xfId="0" applyNumberFormat="1" applyFont="1" applyBorder="1"/>
    <xf numFmtId="0" fontId="93" fillId="0" borderId="35" xfId="0" applyFont="1" applyBorder="1"/>
    <xf numFmtId="0" fontId="93" fillId="0" borderId="40" xfId="0" applyFont="1" applyBorder="1"/>
    <xf numFmtId="0" fontId="95" fillId="0" borderId="0" xfId="0" applyFont="1"/>
    <xf numFmtId="37" fontId="95" fillId="0" borderId="0" xfId="0" applyNumberFormat="1" applyFont="1"/>
    <xf numFmtId="37" fontId="96" fillId="0" borderId="0" xfId="0" applyNumberFormat="1" applyFont="1"/>
    <xf numFmtId="0" fontId="95" fillId="4" borderId="1" xfId="0" applyFont="1" applyFill="1" applyBorder="1"/>
    <xf numFmtId="37" fontId="93" fillId="4" borderId="1" xfId="0" applyNumberFormat="1" applyFont="1" applyFill="1" applyBorder="1"/>
    <xf numFmtId="0" fontId="97" fillId="4" borderId="1" xfId="0" applyFont="1" applyFill="1" applyBorder="1"/>
    <xf numFmtId="37" fontId="95" fillId="4" borderId="1" xfId="0" applyNumberFormat="1" applyFont="1" applyFill="1" applyBorder="1"/>
    <xf numFmtId="0" fontId="98" fillId="4" borderId="1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169" fontId="99" fillId="4" borderId="1" xfId="0" applyNumberFormat="1" applyFont="1" applyFill="1" applyBorder="1" applyAlignment="1">
      <alignment horizontal="right"/>
    </xf>
    <xf numFmtId="0" fontId="95" fillId="4" borderId="1" xfId="0" applyFont="1" applyFill="1" applyBorder="1" applyAlignment="1">
      <alignment horizontal="center"/>
    </xf>
    <xf numFmtId="0" fontId="93" fillId="4" borderId="1" xfId="0" applyFont="1" applyFill="1" applyBorder="1" applyAlignment="1">
      <alignment horizontal="center"/>
    </xf>
    <xf numFmtId="0" fontId="99" fillId="4" borderId="1" xfId="0" applyFont="1" applyFill="1" applyBorder="1" applyAlignment="1">
      <alignment horizontal="center"/>
    </xf>
    <xf numFmtId="0" fontId="99" fillId="4" borderId="1" xfId="0" applyFont="1" applyFill="1" applyBorder="1"/>
    <xf numFmtId="170" fontId="93" fillId="4" borderId="1" xfId="0" applyNumberFormat="1" applyFont="1" applyFill="1" applyBorder="1"/>
    <xf numFmtId="9" fontId="93" fillId="4" borderId="1" xfId="0" applyNumberFormat="1" applyFont="1" applyFill="1" applyBorder="1"/>
    <xf numFmtId="170" fontId="95" fillId="4" borderId="1" xfId="0" applyNumberFormat="1" applyFont="1" applyFill="1" applyBorder="1"/>
    <xf numFmtId="0" fontId="100" fillId="4" borderId="1" xfId="0" applyFont="1" applyFill="1" applyBorder="1"/>
    <xf numFmtId="0" fontId="98" fillId="4" borderId="1" xfId="0" applyFont="1" applyFill="1" applyBorder="1" applyAlignment="1">
      <alignment horizontal="center"/>
    </xf>
    <xf numFmtId="169" fontId="93" fillId="4" borderId="1" xfId="0" applyNumberFormat="1" applyFont="1" applyFill="1" applyBorder="1" applyAlignment="1">
      <alignment horizontal="center"/>
    </xf>
    <xf numFmtId="0" fontId="101" fillId="4" borderId="1" xfId="0" applyFont="1" applyFill="1" applyBorder="1" applyAlignment="1">
      <alignment horizontal="center"/>
    </xf>
    <xf numFmtId="0" fontId="99" fillId="4" borderId="1" xfId="0" applyFont="1" applyFill="1" applyBorder="1" applyAlignment="1">
      <alignment horizontal="left"/>
    </xf>
    <xf numFmtId="0" fontId="102" fillId="4" borderId="1" xfId="0" applyFont="1" applyFill="1" applyBorder="1"/>
    <xf numFmtId="0" fontId="103" fillId="0" borderId="0" xfId="0" applyFont="1" applyAlignment="1">
      <alignment horizontal="center" vertical="top"/>
    </xf>
    <xf numFmtId="0" fontId="104" fillId="6" borderId="43" xfId="0" applyFont="1" applyFill="1" applyBorder="1" applyAlignment="1">
      <alignment horizontal="center" vertical="center" wrapText="1"/>
    </xf>
    <xf numFmtId="1" fontId="75" fillId="0" borderId="0" xfId="0" applyNumberFormat="1" applyFont="1" applyAlignment="1">
      <alignment horizontal="left" vertical="top"/>
    </xf>
    <xf numFmtId="49" fontId="75" fillId="0" borderId="0" xfId="0" applyNumberFormat="1" applyFont="1" applyAlignment="1">
      <alignment horizontal="left" vertical="top"/>
    </xf>
    <xf numFmtId="4" fontId="75" fillId="0" borderId="0" xfId="0" applyNumberFormat="1" applyFont="1" applyAlignment="1">
      <alignment horizontal="center" vertical="top"/>
    </xf>
    <xf numFmtId="0" fontId="75" fillId="7" borderId="1" xfId="0" applyFont="1" applyFill="1" applyBorder="1" applyAlignment="1">
      <alignment horizontal="center"/>
    </xf>
    <xf numFmtId="0" fontId="75" fillId="5" borderId="1" xfId="0" applyFont="1" applyFill="1" applyBorder="1" applyAlignment="1">
      <alignment horizontal="left" vertical="top"/>
    </xf>
    <xf numFmtId="0" fontId="104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4" fillId="9" borderId="1" xfId="0" applyFont="1" applyFill="1" applyBorder="1"/>
    <xf numFmtId="49" fontId="107" fillId="0" borderId="48" xfId="0" applyNumberFormat="1" applyFont="1" applyBorder="1" applyAlignment="1">
      <alignment horizontal="left" vertical="top"/>
    </xf>
    <xf numFmtId="0" fontId="106" fillId="0" borderId="48" xfId="0" applyFont="1" applyBorder="1" applyAlignment="1">
      <alignment horizontal="left" vertical="top"/>
    </xf>
    <xf numFmtId="0" fontId="106" fillId="0" borderId="0" xfId="0" applyFont="1" applyAlignment="1">
      <alignment horizontal="left" vertical="top"/>
    </xf>
    <xf numFmtId="0" fontId="105" fillId="0" borderId="0" xfId="0" applyFont="1"/>
    <xf numFmtId="0" fontId="75" fillId="9" borderId="1" xfId="0" applyFont="1" applyFill="1" applyBorder="1"/>
    <xf numFmtId="0" fontId="107" fillId="0" borderId="48" xfId="0" applyFont="1" applyBorder="1" applyAlignment="1">
      <alignment horizontal="left" vertical="top"/>
    </xf>
    <xf numFmtId="39" fontId="106" fillId="0" borderId="48" xfId="0" applyNumberFormat="1" applyFont="1" applyBorder="1" applyAlignment="1">
      <alignment horizontal="left" vertical="top"/>
    </xf>
    <xf numFmtId="39" fontId="106" fillId="10" borderId="49" xfId="0" applyNumberFormat="1" applyFont="1" applyFill="1" applyBorder="1" applyAlignment="1">
      <alignment horizontal="left" vertical="top"/>
    </xf>
    <xf numFmtId="0" fontId="107" fillId="10" borderId="49" xfId="0" applyFont="1" applyFill="1" applyBorder="1" applyAlignment="1">
      <alignment horizontal="left" vertical="top"/>
    </xf>
    <xf numFmtId="39" fontId="106" fillId="0" borderId="44" xfId="0" applyNumberFormat="1" applyFont="1" applyBorder="1" applyAlignment="1">
      <alignment horizontal="left" vertical="top"/>
    </xf>
    <xf numFmtId="0" fontId="107" fillId="0" borderId="44" xfId="0" applyFont="1" applyBorder="1" applyAlignment="1">
      <alignment horizontal="left" vertical="top"/>
    </xf>
    <xf numFmtId="1" fontId="107" fillId="0" borderId="48" xfId="0" applyNumberFormat="1" applyFont="1" applyBorder="1" applyAlignment="1">
      <alignment horizontal="left" vertical="top"/>
    </xf>
    <xf numFmtId="49" fontId="106" fillId="0" borderId="48" xfId="0" applyNumberFormat="1" applyFont="1" applyBorder="1" applyAlignment="1">
      <alignment horizontal="left" vertical="top"/>
    </xf>
    <xf numFmtId="1" fontId="107" fillId="10" borderId="49" xfId="0" applyNumberFormat="1" applyFont="1" applyFill="1" applyBorder="1" applyAlignment="1">
      <alignment horizontal="left" vertical="top"/>
    </xf>
    <xf numFmtId="49" fontId="106" fillId="10" borderId="49" xfId="0" applyNumberFormat="1" applyFont="1" applyFill="1" applyBorder="1" applyAlignment="1">
      <alignment horizontal="left" vertical="top"/>
    </xf>
    <xf numFmtId="0" fontId="106" fillId="10" borderId="49" xfId="0" applyFont="1" applyFill="1" applyBorder="1" applyAlignment="1">
      <alignment horizontal="left" vertical="top"/>
    </xf>
    <xf numFmtId="0" fontId="106" fillId="0" borderId="44" xfId="0" applyFont="1" applyBorder="1" applyAlignment="1">
      <alignment horizontal="left" vertical="top"/>
    </xf>
    <xf numFmtId="0" fontId="108" fillId="0" borderId="48" xfId="0" applyFont="1" applyBorder="1" applyAlignment="1">
      <alignment horizontal="left" vertical="top"/>
    </xf>
    <xf numFmtId="0" fontId="106" fillId="0" borderId="45" xfId="0" applyFont="1" applyBorder="1" applyAlignment="1">
      <alignment horizontal="left" vertical="top"/>
    </xf>
    <xf numFmtId="0" fontId="106" fillId="8" borderId="49" xfId="0" applyFont="1" applyFill="1" applyBorder="1" applyAlignment="1">
      <alignment horizontal="left" vertical="top"/>
    </xf>
    <xf numFmtId="3" fontId="85" fillId="0" borderId="52" xfId="0" applyNumberFormat="1" applyFont="1" applyBorder="1"/>
    <xf numFmtId="0" fontId="85" fillId="0" borderId="1" xfId="0" applyFont="1" applyBorder="1"/>
    <xf numFmtId="3" fontId="85" fillId="0" borderId="1" xfId="0" applyNumberFormat="1" applyFont="1" applyBorder="1"/>
    <xf numFmtId="3" fontId="85" fillId="0" borderId="15" xfId="0" applyNumberFormat="1" applyFont="1" applyBorder="1"/>
    <xf numFmtId="3" fontId="85" fillId="0" borderId="53" xfId="0" applyNumberFormat="1" applyFont="1" applyBorder="1"/>
    <xf numFmtId="3" fontId="85" fillId="0" borderId="12" xfId="0" applyNumberFormat="1" applyFont="1" applyBorder="1"/>
    <xf numFmtId="3" fontId="85" fillId="0" borderId="54" xfId="0" applyNumberFormat="1" applyFont="1" applyBorder="1"/>
    <xf numFmtId="3" fontId="85" fillId="0" borderId="55" xfId="0" applyNumberFormat="1" applyFont="1" applyBorder="1"/>
    <xf numFmtId="2" fontId="85" fillId="0" borderId="1" xfId="0" applyNumberFormat="1" applyFont="1" applyBorder="1"/>
    <xf numFmtId="3" fontId="85" fillId="0" borderId="56" xfId="0" applyNumberFormat="1" applyFont="1" applyBorder="1"/>
    <xf numFmtId="0" fontId="75" fillId="0" borderId="0" xfId="0" applyFont="1" applyAlignment="1">
      <alignment horizontal="center"/>
    </xf>
    <xf numFmtId="37" fontId="85" fillId="0" borderId="55" xfId="0" applyNumberFormat="1" applyFont="1" applyBorder="1"/>
    <xf numFmtId="171" fontId="85" fillId="0" borderId="55" xfId="0" applyNumberFormat="1" applyFont="1" applyBorder="1"/>
    <xf numFmtId="170" fontId="85" fillId="0" borderId="52" xfId="0" applyNumberFormat="1" applyFont="1" applyBorder="1"/>
    <xf numFmtId="0" fontId="85" fillId="0" borderId="55" xfId="0" applyFont="1" applyBorder="1" applyAlignment="1">
      <alignment horizontal="center"/>
    </xf>
    <xf numFmtId="0" fontId="85" fillId="0" borderId="52" xfId="0" applyFont="1" applyBorder="1" applyAlignment="1">
      <alignment horizontal="center"/>
    </xf>
    <xf numFmtId="170" fontId="85" fillId="0" borderId="55" xfId="0" applyNumberFormat="1" applyFont="1" applyBorder="1"/>
    <xf numFmtId="37" fontId="85" fillId="0" borderId="52" xfId="0" applyNumberFormat="1" applyFont="1" applyBorder="1"/>
    <xf numFmtId="37" fontId="85" fillId="0" borderId="1" xfId="0" applyNumberFormat="1" applyFont="1" applyBorder="1"/>
    <xf numFmtId="37" fontId="86" fillId="0" borderId="24" xfId="0" applyNumberFormat="1" applyFont="1" applyBorder="1"/>
    <xf numFmtId="37" fontId="85" fillId="0" borderId="57" xfId="0" applyNumberFormat="1" applyFont="1" applyBorder="1"/>
    <xf numFmtId="37" fontId="86" fillId="0" borderId="58" xfId="0" applyNumberFormat="1" applyFont="1" applyBorder="1"/>
    <xf numFmtId="37" fontId="85" fillId="0" borderId="58" xfId="0" applyNumberFormat="1" applyFont="1" applyBorder="1"/>
    <xf numFmtId="37" fontId="85" fillId="0" borderId="60" xfId="0" applyNumberFormat="1" applyFont="1" applyBorder="1"/>
    <xf numFmtId="37" fontId="85" fillId="11" borderId="1" xfId="0" applyNumberFormat="1" applyFont="1" applyFill="1" applyBorder="1"/>
    <xf numFmtId="170" fontId="86" fillId="3" borderId="1" xfId="0" applyNumberFormat="1" applyFont="1" applyFill="1" applyBorder="1"/>
    <xf numFmtId="0" fontId="85" fillId="0" borderId="62" xfId="0" applyFont="1" applyBorder="1" applyAlignment="1">
      <alignment horizontal="center"/>
    </xf>
    <xf numFmtId="0" fontId="85" fillId="0" borderId="61" xfId="0" applyFont="1" applyBorder="1" applyAlignment="1">
      <alignment horizontal="center"/>
    </xf>
    <xf numFmtId="0" fontId="85" fillId="0" borderId="63" xfId="0" applyFont="1" applyBorder="1" applyAlignment="1">
      <alignment horizontal="center"/>
    </xf>
    <xf numFmtId="37" fontId="85" fillId="11" borderId="64" xfId="0" applyNumberFormat="1" applyFont="1" applyFill="1" applyBorder="1"/>
    <xf numFmtId="37" fontId="85" fillId="0" borderId="63" xfId="0" applyNumberFormat="1" applyFont="1" applyBorder="1"/>
    <xf numFmtId="170" fontId="85" fillId="0" borderId="1" xfId="0" applyNumberFormat="1" applyFont="1" applyBorder="1"/>
    <xf numFmtId="37" fontId="85" fillId="0" borderId="54" xfId="0" applyNumberFormat="1" applyFont="1" applyBorder="1"/>
    <xf numFmtId="0" fontId="85" fillId="0" borderId="54" xfId="0" applyFont="1" applyBorder="1" applyAlignment="1">
      <alignment horizontal="center"/>
    </xf>
    <xf numFmtId="170" fontId="88" fillId="0" borderId="58" xfId="0" applyNumberFormat="1" applyFont="1" applyBorder="1"/>
    <xf numFmtId="170" fontId="88" fillId="0" borderId="57" xfId="0" applyNumberFormat="1" applyFont="1" applyBorder="1"/>
    <xf numFmtId="170" fontId="88" fillId="0" borderId="65" xfId="0" applyNumberFormat="1" applyFont="1" applyBorder="1"/>
    <xf numFmtId="170" fontId="115" fillId="0" borderId="57" xfId="0" applyNumberFormat="1" applyFont="1" applyBorder="1"/>
    <xf numFmtId="37" fontId="94" fillId="3" borderId="66" xfId="0" applyNumberFormat="1" applyFont="1" applyFill="1" applyBorder="1"/>
    <xf numFmtId="37" fontId="94" fillId="3" borderId="67" xfId="0" applyNumberFormat="1" applyFont="1" applyFill="1" applyBorder="1"/>
    <xf numFmtId="0" fontId="93" fillId="0" borderId="1" xfId="0" applyFont="1" applyBorder="1"/>
    <xf numFmtId="3" fontId="85" fillId="11" borderId="69" xfId="0" applyNumberFormat="1" applyFont="1" applyFill="1" applyBorder="1"/>
    <xf numFmtId="3" fontId="85" fillId="11" borderId="70" xfId="0" applyNumberFormat="1" applyFont="1" applyFill="1" applyBorder="1"/>
    <xf numFmtId="171" fontId="86" fillId="0" borderId="24" xfId="0" applyNumberFormat="1" applyFont="1" applyBorder="1"/>
    <xf numFmtId="37" fontId="86" fillId="0" borderId="25" xfId="0" applyNumberFormat="1" applyFont="1" applyBorder="1"/>
    <xf numFmtId="37" fontId="86" fillId="0" borderId="23" xfId="0" applyNumberFormat="1" applyFont="1" applyBorder="1"/>
    <xf numFmtId="0" fontId="85" fillId="0" borderId="12" xfId="0" applyFont="1" applyBorder="1"/>
    <xf numFmtId="37" fontId="85" fillId="0" borderId="12" xfId="0" applyNumberFormat="1" applyFont="1" applyBorder="1"/>
    <xf numFmtId="37" fontId="85" fillId="0" borderId="15" xfId="0" applyNumberFormat="1" applyFont="1" applyBorder="1"/>
    <xf numFmtId="171" fontId="85" fillId="0" borderId="1" xfId="0" applyNumberFormat="1" applyFont="1" applyBorder="1"/>
    <xf numFmtId="170" fontId="85" fillId="0" borderId="15" xfId="0" applyNumberFormat="1" applyFont="1" applyBorder="1"/>
    <xf numFmtId="37" fontId="86" fillId="0" borderId="12" xfId="0" applyNumberFormat="1" applyFont="1" applyBorder="1"/>
    <xf numFmtId="171" fontId="86" fillId="0" borderId="1" xfId="0" applyNumberFormat="1" applyFont="1" applyBorder="1"/>
    <xf numFmtId="37" fontId="86" fillId="0" borderId="15" xfId="0" applyNumberFormat="1" applyFont="1" applyBorder="1"/>
    <xf numFmtId="37" fontId="86" fillId="0" borderId="1" xfId="0" applyNumberFormat="1" applyFont="1" applyBorder="1"/>
    <xf numFmtId="0" fontId="86" fillId="0" borderId="12" xfId="0" applyFont="1" applyBorder="1"/>
    <xf numFmtId="0" fontId="86" fillId="0" borderId="1" xfId="0" applyFont="1" applyBorder="1"/>
    <xf numFmtId="170" fontId="86" fillId="0" borderId="15" xfId="0" applyNumberFormat="1" applyFont="1" applyBorder="1"/>
    <xf numFmtId="170" fontId="86" fillId="0" borderId="12" xfId="0" applyNumberFormat="1" applyFont="1" applyBorder="1"/>
    <xf numFmtId="37" fontId="112" fillId="0" borderId="1" xfId="0" applyNumberFormat="1" applyFont="1" applyBorder="1"/>
    <xf numFmtId="0" fontId="94" fillId="0" borderId="1" xfId="0" applyFont="1" applyBorder="1"/>
    <xf numFmtId="37" fontId="88" fillId="0" borderId="37" xfId="0" applyNumberFormat="1" applyFont="1" applyBorder="1"/>
    <xf numFmtId="170" fontId="94" fillId="0" borderId="24" xfId="0" applyNumberFormat="1" applyFont="1" applyBorder="1"/>
    <xf numFmtId="0" fontId="94" fillId="0" borderId="24" xfId="0" applyFont="1" applyBorder="1"/>
    <xf numFmtId="37" fontId="94" fillId="0" borderId="38" xfId="0" applyNumberFormat="1" applyFont="1" applyBorder="1"/>
    <xf numFmtId="170" fontId="94" fillId="0" borderId="38" xfId="0" applyNumberFormat="1" applyFont="1" applyBorder="1"/>
    <xf numFmtId="37" fontId="94" fillId="0" borderId="24" xfId="0" applyNumberFormat="1" applyFont="1" applyBorder="1"/>
    <xf numFmtId="170" fontId="94" fillId="0" borderId="1" xfId="0" applyNumberFormat="1" applyFont="1" applyBorder="1"/>
    <xf numFmtId="37" fontId="94" fillId="0" borderId="39" xfId="0" applyNumberFormat="1" applyFont="1" applyBorder="1"/>
    <xf numFmtId="170" fontId="94" fillId="0" borderId="39" xfId="0" applyNumberFormat="1" applyFont="1" applyBorder="1"/>
    <xf numFmtId="37" fontId="88" fillId="0" borderId="40" xfId="0" applyNumberFormat="1" applyFont="1" applyBorder="1"/>
    <xf numFmtId="37" fontId="94" fillId="0" borderId="1" xfId="0" applyNumberFormat="1" applyFont="1" applyBorder="1"/>
    <xf numFmtId="0" fontId="85" fillId="0" borderId="1" xfId="0" applyFont="1" applyBorder="1" applyAlignment="1">
      <alignment horizontal="right"/>
    </xf>
    <xf numFmtId="0" fontId="85" fillId="0" borderId="70" xfId="0" applyFont="1" applyBorder="1"/>
    <xf numFmtId="0" fontId="85" fillId="0" borderId="72" xfId="0" applyFont="1" applyBorder="1"/>
    <xf numFmtId="0" fontId="85" fillId="0" borderId="12" xfId="0" applyFont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85" fillId="0" borderId="15" xfId="0" applyFont="1" applyBorder="1" applyAlignment="1">
      <alignment horizontal="center"/>
    </xf>
    <xf numFmtId="0" fontId="85" fillId="0" borderId="57" xfId="0" applyFont="1" applyBorder="1" applyAlignment="1">
      <alignment horizontal="center"/>
    </xf>
    <xf numFmtId="0" fontId="86" fillId="3" borderId="73" xfId="0" applyFont="1" applyFill="1" applyBorder="1"/>
    <xf numFmtId="37" fontId="86" fillId="3" borderId="74" xfId="0" applyNumberFormat="1" applyFont="1" applyFill="1" applyBorder="1"/>
    <xf numFmtId="0" fontId="86" fillId="3" borderId="75" xfId="0" applyFont="1" applyFill="1" applyBorder="1"/>
    <xf numFmtId="170" fontId="86" fillId="3" borderId="76" xfId="0" applyNumberFormat="1" applyFont="1" applyFill="1" applyBorder="1"/>
    <xf numFmtId="0" fontId="86" fillId="0" borderId="72" xfId="0" applyFont="1" applyBorder="1"/>
    <xf numFmtId="170" fontId="85" fillId="0" borderId="15" xfId="1" applyNumberFormat="1" applyFont="1" applyFill="1" applyBorder="1"/>
    <xf numFmtId="170" fontId="86" fillId="0" borderId="57" xfId="0" applyNumberFormat="1" applyFont="1" applyBorder="1"/>
    <xf numFmtId="0" fontId="86" fillId="0" borderId="72" xfId="0" applyFont="1" applyBorder="1" applyAlignment="1">
      <alignment horizontal="left"/>
    </xf>
    <xf numFmtId="0" fontId="111" fillId="0" borderId="1" xfId="0" applyFont="1" applyBorder="1"/>
    <xf numFmtId="0" fontId="85" fillId="0" borderId="15" xfId="0" applyFont="1" applyBorder="1"/>
    <xf numFmtId="0" fontId="85" fillId="0" borderId="57" xfId="0" applyFont="1" applyBorder="1"/>
    <xf numFmtId="0" fontId="88" fillId="0" borderId="72" xfId="0" applyFont="1" applyBorder="1"/>
    <xf numFmtId="0" fontId="88" fillId="0" borderId="77" xfId="0" applyFont="1" applyBorder="1"/>
    <xf numFmtId="0" fontId="85" fillId="0" borderId="12" xfId="0" applyFont="1" applyBorder="1" applyAlignment="1">
      <alignment horizontal="right"/>
    </xf>
    <xf numFmtId="0" fontId="85" fillId="0" borderId="24" xfId="0" applyFont="1" applyBorder="1" applyAlignment="1">
      <alignment horizontal="right"/>
    </xf>
    <xf numFmtId="0" fontId="85" fillId="0" borderId="24" xfId="0" applyFont="1" applyBorder="1"/>
    <xf numFmtId="0" fontId="85" fillId="0" borderId="23" xfId="0" applyFont="1" applyBorder="1" applyAlignment="1">
      <alignment horizontal="right"/>
    </xf>
    <xf numFmtId="0" fontId="85" fillId="0" borderId="23" xfId="0" applyFont="1" applyBorder="1"/>
    <xf numFmtId="37" fontId="85" fillId="0" borderId="25" xfId="0" applyNumberFormat="1" applyFont="1" applyBorder="1"/>
    <xf numFmtId="0" fontId="85" fillId="0" borderId="22" xfId="0" applyFont="1" applyBorder="1" applyAlignment="1">
      <alignment horizontal="right"/>
    </xf>
    <xf numFmtId="0" fontId="85" fillId="0" borderId="22" xfId="0" applyFont="1" applyBorder="1"/>
    <xf numFmtId="0" fontId="85" fillId="0" borderId="13" xfId="0" applyFont="1" applyBorder="1" applyAlignment="1">
      <alignment horizontal="right"/>
    </xf>
    <xf numFmtId="0" fontId="85" fillId="0" borderId="13" xfId="0" applyFont="1" applyBorder="1"/>
    <xf numFmtId="37" fontId="85" fillId="0" borderId="19" xfId="0" applyNumberFormat="1" applyFont="1" applyBorder="1"/>
    <xf numFmtId="0" fontId="86" fillId="3" borderId="78" xfId="0" applyFont="1" applyFill="1" applyBorder="1"/>
    <xf numFmtId="37" fontId="86" fillId="3" borderId="60" xfId="0" applyNumberFormat="1" applyFont="1" applyFill="1" applyBorder="1"/>
    <xf numFmtId="0" fontId="88" fillId="0" borderId="79" xfId="0" applyFont="1" applyBorder="1"/>
    <xf numFmtId="0" fontId="86" fillId="0" borderId="15" xfId="0" applyFont="1" applyBorder="1"/>
    <xf numFmtId="0" fontId="86" fillId="0" borderId="57" xfId="0" applyFont="1" applyBorder="1"/>
    <xf numFmtId="37" fontId="86" fillId="3" borderId="59" xfId="0" applyNumberFormat="1" applyFont="1" applyFill="1" applyBorder="1"/>
    <xf numFmtId="0" fontId="86" fillId="3" borderId="80" xfId="0" applyFont="1" applyFill="1" applyBorder="1"/>
    <xf numFmtId="0" fontId="86" fillId="3" borderId="66" xfId="0" applyFont="1" applyFill="1" applyBorder="1"/>
    <xf numFmtId="37" fontId="86" fillId="3" borderId="81" xfId="0" applyNumberFormat="1" applyFont="1" applyFill="1" applyBorder="1"/>
    <xf numFmtId="0" fontId="86" fillId="3" borderId="82" xfId="0" applyFont="1" applyFill="1" applyBorder="1"/>
    <xf numFmtId="0" fontId="85" fillId="3" borderId="82" xfId="0" applyFont="1" applyFill="1" applyBorder="1"/>
    <xf numFmtId="0" fontId="85" fillId="3" borderId="66" xfId="0" applyFont="1" applyFill="1" applyBorder="1"/>
    <xf numFmtId="37" fontId="86" fillId="3" borderId="83" xfId="0" applyNumberFormat="1" applyFont="1" applyFill="1" applyBorder="1"/>
    <xf numFmtId="170" fontId="85" fillId="0" borderId="12" xfId="0" applyNumberFormat="1" applyFont="1" applyBorder="1"/>
    <xf numFmtId="0" fontId="85" fillId="0" borderId="77" xfId="0" applyFont="1" applyBorder="1"/>
    <xf numFmtId="170" fontId="86" fillId="0" borderId="24" xfId="0" applyNumberFormat="1" applyFont="1" applyBorder="1"/>
    <xf numFmtId="170" fontId="86" fillId="0" borderId="23" xfId="0" applyNumberFormat="1" applyFont="1" applyBorder="1"/>
    <xf numFmtId="0" fontId="85" fillId="0" borderId="19" xfId="0" applyFont="1" applyBorder="1"/>
    <xf numFmtId="0" fontId="111" fillId="0" borderId="22" xfId="0" applyFont="1" applyBorder="1"/>
    <xf numFmtId="170" fontId="86" fillId="0" borderId="19" xfId="0" applyNumberFormat="1" applyFont="1" applyBorder="1"/>
    <xf numFmtId="170" fontId="86" fillId="0" borderId="60" xfId="0" applyNumberFormat="1" applyFont="1" applyBorder="1"/>
    <xf numFmtId="170" fontId="85" fillId="0" borderId="22" xfId="0" applyNumberFormat="1" applyFont="1" applyBorder="1"/>
    <xf numFmtId="37" fontId="85" fillId="0" borderId="13" xfId="0" applyNumberFormat="1" applyFont="1" applyBorder="1"/>
    <xf numFmtId="0" fontId="86" fillId="3" borderId="84" xfId="0" applyFont="1" applyFill="1" applyBorder="1"/>
    <xf numFmtId="0" fontId="85" fillId="3" borderId="62" xfId="0" applyFont="1" applyFill="1" applyBorder="1" applyAlignment="1">
      <alignment horizontal="right"/>
    </xf>
    <xf numFmtId="0" fontId="85" fillId="3" borderId="62" xfId="0" applyFont="1" applyFill="1" applyBorder="1"/>
    <xf numFmtId="37" fontId="86" fillId="3" borderId="61" xfId="0" applyNumberFormat="1" applyFont="1" applyFill="1" applyBorder="1"/>
    <xf numFmtId="0" fontId="85" fillId="3" borderId="63" xfId="0" applyFont="1" applyFill="1" applyBorder="1" applyAlignment="1">
      <alignment horizontal="right"/>
    </xf>
    <xf numFmtId="0" fontId="86" fillId="3" borderId="63" xfId="0" applyFont="1" applyFill="1" applyBorder="1"/>
    <xf numFmtId="0" fontId="86" fillId="3" borderId="62" xfId="0" applyFont="1" applyFill="1" applyBorder="1"/>
    <xf numFmtId="37" fontId="86" fillId="3" borderId="85" xfId="0" applyNumberFormat="1" applyFont="1" applyFill="1" applyBorder="1"/>
    <xf numFmtId="1" fontId="85" fillId="0" borderId="12" xfId="0" applyNumberFormat="1" applyFont="1" applyBorder="1"/>
    <xf numFmtId="0" fontId="85" fillId="0" borderId="79" xfId="0" applyFont="1" applyBorder="1"/>
    <xf numFmtId="1" fontId="85" fillId="0" borderId="23" xfId="0" applyNumberFormat="1" applyFont="1" applyBorder="1"/>
    <xf numFmtId="37" fontId="85" fillId="0" borderId="23" xfId="0" applyNumberFormat="1" applyFont="1" applyBorder="1"/>
    <xf numFmtId="170" fontId="85" fillId="0" borderId="23" xfId="0" applyNumberFormat="1" applyFont="1" applyBorder="1"/>
    <xf numFmtId="37" fontId="85" fillId="0" borderId="24" xfId="0" applyNumberFormat="1" applyFont="1" applyBorder="1"/>
    <xf numFmtId="171" fontId="85" fillId="0" borderId="22" xfId="0" applyNumberFormat="1" applyFont="1" applyBorder="1"/>
    <xf numFmtId="170" fontId="85" fillId="0" borderId="19" xfId="0" applyNumberFormat="1" applyFont="1" applyBorder="1"/>
    <xf numFmtId="2" fontId="85" fillId="0" borderId="22" xfId="0" applyNumberFormat="1" applyFont="1" applyBorder="1"/>
    <xf numFmtId="170" fontId="85" fillId="0" borderId="13" xfId="0" applyNumberFormat="1" applyFont="1" applyBorder="1"/>
    <xf numFmtId="37" fontId="86" fillId="3" borderId="86" xfId="0" applyNumberFormat="1" applyFont="1" applyFill="1" applyBorder="1"/>
    <xf numFmtId="0" fontId="86" fillId="3" borderId="87" xfId="0" applyFont="1" applyFill="1" applyBorder="1"/>
    <xf numFmtId="0" fontId="86" fillId="3" borderId="31" xfId="0" applyFont="1" applyFill="1" applyBorder="1"/>
    <xf numFmtId="170" fontId="86" fillId="0" borderId="13" xfId="0" applyNumberFormat="1" applyFont="1" applyBorder="1"/>
    <xf numFmtId="172" fontId="85" fillId="0" borderId="1" xfId="0" applyNumberFormat="1" applyFont="1" applyBorder="1"/>
    <xf numFmtId="37" fontId="86" fillId="0" borderId="57" xfId="0" applyNumberFormat="1" applyFont="1" applyBorder="1"/>
    <xf numFmtId="0" fontId="86" fillId="0" borderId="22" xfId="0" applyFont="1" applyBorder="1"/>
    <xf numFmtId="171" fontId="86" fillId="0" borderId="22" xfId="0" applyNumberFormat="1" applyFont="1" applyBorder="1"/>
    <xf numFmtId="0" fontId="86" fillId="0" borderId="13" xfId="0" applyFont="1" applyBorder="1"/>
    <xf numFmtId="37" fontId="86" fillId="0" borderId="13" xfId="0" applyNumberFormat="1" applyFont="1" applyBorder="1"/>
    <xf numFmtId="37" fontId="86" fillId="0" borderId="19" xfId="0" applyNumberFormat="1" applyFont="1" applyBorder="1"/>
    <xf numFmtId="37" fontId="86" fillId="0" borderId="60" xfId="0" applyNumberFormat="1" applyFont="1" applyBorder="1"/>
    <xf numFmtId="0" fontId="86" fillId="4" borderId="73" xfId="0" applyFont="1" applyFill="1" applyBorder="1"/>
    <xf numFmtId="170" fontId="113" fillId="0" borderId="12" xfId="0" applyNumberFormat="1" applyFont="1" applyBorder="1"/>
    <xf numFmtId="37" fontId="86" fillId="4" borderId="86" xfId="0" applyNumberFormat="1" applyFont="1" applyFill="1" applyBorder="1"/>
    <xf numFmtId="0" fontId="86" fillId="4" borderId="77" xfId="0" applyFont="1" applyFill="1" applyBorder="1"/>
    <xf numFmtId="0" fontId="86" fillId="0" borderId="79" xfId="0" applyFont="1" applyBorder="1"/>
    <xf numFmtId="0" fontId="86" fillId="4" borderId="79" xfId="0" applyFont="1" applyFill="1" applyBorder="1"/>
    <xf numFmtId="37" fontId="86" fillId="4" borderId="58" xfId="0" applyNumberFormat="1" applyFont="1" applyFill="1" applyBorder="1"/>
    <xf numFmtId="0" fontId="85" fillId="0" borderId="24" xfId="0" applyFont="1" applyBorder="1" applyAlignment="1">
      <alignment horizontal="center"/>
    </xf>
    <xf numFmtId="0" fontId="85" fillId="0" borderId="13" xfId="0" applyFont="1" applyBorder="1" applyAlignment="1">
      <alignment horizontal="center"/>
    </xf>
    <xf numFmtId="0" fontId="85" fillId="0" borderId="19" xfId="0" applyFont="1" applyBorder="1" applyAlignment="1">
      <alignment horizontal="center"/>
    </xf>
    <xf numFmtId="0" fontId="85" fillId="0" borderId="22" xfId="0" applyFont="1" applyBorder="1" applyAlignment="1">
      <alignment horizontal="center"/>
    </xf>
    <xf numFmtId="0" fontId="85" fillId="0" borderId="60" xfId="0" applyFont="1" applyBorder="1" applyAlignment="1">
      <alignment horizontal="center"/>
    </xf>
    <xf numFmtId="3" fontId="85" fillId="0" borderId="57" xfId="0" applyNumberFormat="1" applyFont="1" applyBorder="1"/>
    <xf numFmtId="3" fontId="86" fillId="0" borderId="24" xfId="0" applyNumberFormat="1" applyFont="1" applyBorder="1"/>
    <xf numFmtId="3" fontId="86" fillId="0" borderId="25" xfId="0" applyNumberFormat="1" applyFont="1" applyBorder="1"/>
    <xf numFmtId="3" fontId="86" fillId="0" borderId="23" xfId="0" applyNumberFormat="1" applyFont="1" applyBorder="1"/>
    <xf numFmtId="3" fontId="86" fillId="0" borderId="58" xfId="0" applyNumberFormat="1" applyFont="1" applyBorder="1"/>
    <xf numFmtId="3" fontId="85" fillId="0" borderId="19" xfId="0" applyNumberFormat="1" applyFont="1" applyBorder="1"/>
    <xf numFmtId="3" fontId="85" fillId="0" borderId="13" xfId="0" applyNumberFormat="1" applyFont="1" applyBorder="1"/>
    <xf numFmtId="3" fontId="85" fillId="0" borderId="22" xfId="0" applyNumberFormat="1" applyFont="1" applyBorder="1"/>
    <xf numFmtId="3" fontId="86" fillId="0" borderId="13" xfId="0" applyNumberFormat="1" applyFont="1" applyBorder="1"/>
    <xf numFmtId="3" fontId="86" fillId="0" borderId="19" xfId="0" applyNumberFormat="1" applyFont="1" applyBorder="1"/>
    <xf numFmtId="3" fontId="86" fillId="0" borderId="60" xfId="0" applyNumberFormat="1" applyFont="1" applyBorder="1"/>
    <xf numFmtId="3" fontId="85" fillId="0" borderId="23" xfId="0" applyNumberFormat="1" applyFont="1" applyBorder="1"/>
    <xf numFmtId="170" fontId="112" fillId="11" borderId="88" xfId="0" applyNumberFormat="1" applyFont="1" applyFill="1" applyBorder="1"/>
    <xf numFmtId="37" fontId="85" fillId="0" borderId="22" xfId="0" applyNumberFormat="1" applyFont="1" applyBorder="1"/>
    <xf numFmtId="0" fontId="86" fillId="0" borderId="1" xfId="0" applyFont="1" applyBorder="1" applyAlignment="1">
      <alignment horizontal="center"/>
    </xf>
    <xf numFmtId="170" fontId="86" fillId="0" borderId="1" xfId="0" applyNumberFormat="1" applyFont="1" applyBorder="1"/>
    <xf numFmtId="0" fontId="86" fillId="0" borderId="12" xfId="0" applyFont="1" applyBorder="1" applyAlignment="1">
      <alignment horizontal="center"/>
    </xf>
    <xf numFmtId="3" fontId="85" fillId="0" borderId="24" xfId="0" applyNumberFormat="1" applyFont="1" applyBorder="1" applyAlignment="1">
      <alignment horizontal="center"/>
    </xf>
    <xf numFmtId="3" fontId="85" fillId="0" borderId="1" xfId="0" applyNumberFormat="1" applyFont="1" applyBorder="1" applyAlignment="1">
      <alignment horizontal="center"/>
    </xf>
    <xf numFmtId="3" fontId="85" fillId="0" borderId="15" xfId="0" applyNumberFormat="1" applyFont="1" applyBorder="1" applyAlignment="1">
      <alignment horizontal="center"/>
    </xf>
    <xf numFmtId="3" fontId="85" fillId="0" borderId="12" xfId="0" applyNumberFormat="1" applyFont="1" applyBorder="1" applyAlignment="1">
      <alignment horizontal="center"/>
    </xf>
    <xf numFmtId="3" fontId="85" fillId="0" borderId="57" xfId="0" applyNumberFormat="1" applyFont="1" applyBorder="1" applyAlignment="1">
      <alignment horizontal="center"/>
    </xf>
    <xf numFmtId="3" fontId="85" fillId="0" borderId="22" xfId="0" applyNumberFormat="1" applyFont="1" applyBorder="1" applyAlignment="1">
      <alignment horizontal="center"/>
    </xf>
    <xf numFmtId="3" fontId="85" fillId="0" borderId="13" xfId="0" applyNumberFormat="1" applyFont="1" applyBorder="1" applyAlignment="1">
      <alignment horizontal="center"/>
    </xf>
    <xf numFmtId="3" fontId="85" fillId="0" borderId="19" xfId="0" applyNumberFormat="1" applyFont="1" applyBorder="1" applyAlignment="1">
      <alignment horizontal="center"/>
    </xf>
    <xf numFmtId="3" fontId="85" fillId="0" borderId="60" xfId="0" applyNumberFormat="1" applyFont="1" applyBorder="1" applyAlignment="1">
      <alignment horizontal="center"/>
    </xf>
    <xf numFmtId="0" fontId="86" fillId="0" borderId="77" xfId="0" applyFont="1" applyBorder="1"/>
    <xf numFmtId="3" fontId="85" fillId="0" borderId="60" xfId="0" applyNumberFormat="1" applyFont="1" applyBorder="1"/>
    <xf numFmtId="3" fontId="85" fillId="0" borderId="24" xfId="0" applyNumberFormat="1" applyFont="1" applyBorder="1"/>
    <xf numFmtId="3" fontId="85" fillId="0" borderId="25" xfId="0" applyNumberFormat="1" applyFont="1" applyBorder="1"/>
    <xf numFmtId="3" fontId="85" fillId="0" borderId="58" xfId="0" applyNumberFormat="1" applyFont="1" applyBorder="1"/>
    <xf numFmtId="3" fontId="86" fillId="0" borderId="12" xfId="0" applyNumberFormat="1" applyFont="1" applyBorder="1"/>
    <xf numFmtId="0" fontId="86" fillId="4" borderId="72" xfId="0" applyFont="1" applyFill="1" applyBorder="1"/>
    <xf numFmtId="37" fontId="86" fillId="4" borderId="60" xfId="0" applyNumberFormat="1" applyFont="1" applyFill="1" applyBorder="1"/>
    <xf numFmtId="0" fontId="85" fillId="3" borderId="63" xfId="0" applyFont="1" applyFill="1" applyBorder="1"/>
    <xf numFmtId="0" fontId="94" fillId="0" borderId="1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/>
    </xf>
    <xf numFmtId="0" fontId="83" fillId="0" borderId="1" xfId="0" applyFont="1" applyBorder="1"/>
    <xf numFmtId="0" fontId="85" fillId="0" borderId="89" xfId="0" applyFont="1" applyBorder="1" applyAlignment="1">
      <alignment horizontal="left"/>
    </xf>
    <xf numFmtId="0" fontId="86" fillId="0" borderId="90" xfId="0" applyFont="1" applyBorder="1" applyAlignment="1">
      <alignment horizontal="center" vertical="center"/>
    </xf>
    <xf numFmtId="0" fontId="85" fillId="0" borderId="32" xfId="0" applyFont="1" applyBorder="1" applyAlignment="1">
      <alignment horizontal="center"/>
    </xf>
    <xf numFmtId="0" fontId="85" fillId="0" borderId="33" xfId="0" applyFont="1" applyBorder="1" applyAlignment="1">
      <alignment horizontal="center"/>
    </xf>
    <xf numFmtId="0" fontId="85" fillId="0" borderId="34" xfId="0" applyFont="1" applyBorder="1" applyAlignment="1">
      <alignment horizontal="center"/>
    </xf>
    <xf numFmtId="0" fontId="88" fillId="0" borderId="22" xfId="0" applyFont="1" applyBorder="1"/>
    <xf numFmtId="37" fontId="88" fillId="0" borderId="32" xfId="0" applyNumberFormat="1" applyFont="1" applyBorder="1"/>
    <xf numFmtId="37" fontId="88" fillId="0" borderId="33" xfId="0" applyNumberFormat="1" applyFont="1" applyBorder="1"/>
    <xf numFmtId="37" fontId="88" fillId="0" borderId="22" xfId="0" applyNumberFormat="1" applyFont="1" applyBorder="1"/>
    <xf numFmtId="170" fontId="88" fillId="0" borderId="22" xfId="0" applyNumberFormat="1" applyFont="1" applyBorder="1"/>
    <xf numFmtId="37" fontId="88" fillId="0" borderId="34" xfId="0" applyNumberFormat="1" applyFont="1" applyBorder="1"/>
    <xf numFmtId="170" fontId="88" fillId="0" borderId="60" xfId="0" applyNumberFormat="1" applyFont="1" applyBorder="1"/>
    <xf numFmtId="0" fontId="94" fillId="3" borderId="77" xfId="0" applyFont="1" applyFill="1" applyBorder="1"/>
    <xf numFmtId="170" fontId="94" fillId="3" borderId="60" xfId="0" applyNumberFormat="1" applyFont="1" applyFill="1" applyBorder="1"/>
    <xf numFmtId="0" fontId="94" fillId="0" borderId="72" xfId="0" applyFont="1" applyBorder="1"/>
    <xf numFmtId="0" fontId="88" fillId="0" borderId="1" xfId="0" applyFont="1" applyBorder="1"/>
    <xf numFmtId="37" fontId="88" fillId="0" borderId="39" xfId="0" applyNumberFormat="1" applyFont="1" applyBorder="1"/>
    <xf numFmtId="37" fontId="88" fillId="0" borderId="1" xfId="0" applyNumberFormat="1" applyFont="1" applyBorder="1"/>
    <xf numFmtId="170" fontId="88" fillId="0" borderId="1" xfId="0" applyNumberFormat="1" applyFont="1" applyBorder="1"/>
    <xf numFmtId="37" fontId="88" fillId="0" borderId="41" xfId="0" applyNumberFormat="1" applyFont="1" applyBorder="1"/>
    <xf numFmtId="0" fontId="88" fillId="0" borderId="1" xfId="0" applyFont="1" applyBorder="1" applyAlignment="1">
      <alignment horizontal="right"/>
    </xf>
    <xf numFmtId="171" fontId="88" fillId="0" borderId="1" xfId="0" applyNumberFormat="1" applyFont="1" applyBorder="1"/>
    <xf numFmtId="0" fontId="88" fillId="0" borderId="39" xfId="0" applyFont="1" applyBorder="1"/>
    <xf numFmtId="0" fontId="88" fillId="0" borderId="22" xfId="0" applyFont="1" applyBorder="1" applyAlignment="1">
      <alignment horizontal="right"/>
    </xf>
    <xf numFmtId="171" fontId="88" fillId="0" borderId="22" xfId="0" applyNumberFormat="1" applyFont="1" applyBorder="1"/>
    <xf numFmtId="0" fontId="88" fillId="0" borderId="33" xfId="0" applyFont="1" applyBorder="1"/>
    <xf numFmtId="170" fontId="88" fillId="0" borderId="32" xfId="0" applyNumberFormat="1" applyFont="1" applyBorder="1"/>
    <xf numFmtId="0" fontId="94" fillId="3" borderId="78" xfId="0" applyFont="1" applyFill="1" applyBorder="1"/>
    <xf numFmtId="0" fontId="88" fillId="0" borderId="24" xfId="0" applyFont="1" applyBorder="1" applyAlignment="1">
      <alignment horizontal="right"/>
    </xf>
    <xf numFmtId="0" fontId="88" fillId="0" borderId="24" xfId="0" applyFont="1" applyBorder="1"/>
    <xf numFmtId="0" fontId="88" fillId="0" borderId="38" xfId="0" applyFont="1" applyBorder="1"/>
    <xf numFmtId="171" fontId="88" fillId="0" borderId="24" xfId="0" applyNumberFormat="1" applyFont="1" applyBorder="1"/>
    <xf numFmtId="37" fontId="88" fillId="0" borderId="24" xfId="0" applyNumberFormat="1" applyFont="1" applyBorder="1"/>
    <xf numFmtId="170" fontId="88" fillId="0" borderId="24" xfId="0" applyNumberFormat="1" applyFont="1" applyBorder="1"/>
    <xf numFmtId="37" fontId="88" fillId="0" borderId="42" xfId="0" applyNumberFormat="1" applyFont="1" applyBorder="1"/>
    <xf numFmtId="170" fontId="88" fillId="0" borderId="37" xfId="0" applyNumberFormat="1" applyFont="1" applyBorder="1"/>
    <xf numFmtId="0" fontId="88" fillId="0" borderId="41" xfId="0" applyFont="1" applyBorder="1"/>
    <xf numFmtId="170" fontId="88" fillId="0" borderId="94" xfId="0" applyNumberFormat="1" applyFont="1" applyBorder="1"/>
    <xf numFmtId="37" fontId="88" fillId="0" borderId="51" xfId="0" applyNumberFormat="1" applyFont="1" applyBorder="1"/>
    <xf numFmtId="0" fontId="94" fillId="4" borderId="79" xfId="0" applyFont="1" applyFill="1" applyBorder="1"/>
    <xf numFmtId="170" fontId="88" fillId="0" borderId="85" xfId="0" applyNumberFormat="1" applyFont="1" applyBorder="1"/>
    <xf numFmtId="0" fontId="94" fillId="3" borderId="80" xfId="0" applyFont="1" applyFill="1" applyBorder="1"/>
    <xf numFmtId="0" fontId="94" fillId="3" borderId="66" xfId="0" applyFont="1" applyFill="1" applyBorder="1"/>
    <xf numFmtId="0" fontId="94" fillId="3" borderId="66" xfId="0" applyFont="1" applyFill="1" applyBorder="1" applyAlignment="1">
      <alignment horizontal="center"/>
    </xf>
    <xf numFmtId="170" fontId="94" fillId="3" borderId="66" xfId="0" applyNumberFormat="1" applyFont="1" applyFill="1" applyBorder="1"/>
    <xf numFmtId="37" fontId="94" fillId="3" borderId="95" xfId="0" applyNumberFormat="1" applyFont="1" applyFill="1" applyBorder="1"/>
    <xf numFmtId="37" fontId="94" fillId="3" borderId="96" xfId="0" applyNumberFormat="1" applyFont="1" applyFill="1" applyBorder="1"/>
    <xf numFmtId="0" fontId="94" fillId="3" borderId="96" xfId="0" applyFont="1" applyFill="1" applyBorder="1" applyAlignment="1">
      <alignment horizontal="center"/>
    </xf>
    <xf numFmtId="170" fontId="94" fillId="3" borderId="88" xfId="0" applyNumberFormat="1" applyFont="1" applyFill="1" applyBorder="1"/>
    <xf numFmtId="0" fontId="94" fillId="3" borderId="97" xfId="0" applyFont="1" applyFill="1" applyBorder="1"/>
    <xf numFmtId="0" fontId="94" fillId="3" borderId="98" xfId="0" applyFont="1" applyFill="1" applyBorder="1"/>
    <xf numFmtId="0" fontId="94" fillId="3" borderId="98" xfId="0" applyFont="1" applyFill="1" applyBorder="1" applyAlignment="1">
      <alignment horizontal="center"/>
    </xf>
    <xf numFmtId="170" fontId="94" fillId="3" borderId="98" xfId="0" applyNumberFormat="1" applyFont="1" applyFill="1" applyBorder="1"/>
    <xf numFmtId="37" fontId="94" fillId="3" borderId="99" xfId="0" applyNumberFormat="1" applyFont="1" applyFill="1" applyBorder="1"/>
    <xf numFmtId="37" fontId="94" fillId="3" borderId="98" xfId="0" applyNumberFormat="1" applyFont="1" applyFill="1" applyBorder="1"/>
    <xf numFmtId="37" fontId="94" fillId="3" borderId="100" xfId="0" applyNumberFormat="1" applyFont="1" applyFill="1" applyBorder="1"/>
    <xf numFmtId="37" fontId="94" fillId="3" borderId="101" xfId="0" applyNumberFormat="1" applyFont="1" applyFill="1" applyBorder="1"/>
    <xf numFmtId="37" fontId="94" fillId="3" borderId="90" xfId="0" applyNumberFormat="1" applyFont="1" applyFill="1" applyBorder="1"/>
    <xf numFmtId="170" fontId="94" fillId="3" borderId="93" xfId="0" applyNumberFormat="1" applyFont="1" applyFill="1" applyBorder="1"/>
    <xf numFmtId="0" fontId="93" fillId="0" borderId="72" xfId="0" applyFont="1" applyBorder="1"/>
    <xf numFmtId="0" fontId="93" fillId="0" borderId="41" xfId="0" applyFont="1" applyBorder="1"/>
    <xf numFmtId="0" fontId="93" fillId="0" borderId="57" xfId="0" applyFont="1" applyBorder="1"/>
    <xf numFmtId="0" fontId="83" fillId="0" borderId="41" xfId="0" applyFont="1" applyBorder="1"/>
    <xf numFmtId="170" fontId="94" fillId="3" borderId="83" xfId="0" applyNumberFormat="1" applyFont="1" applyFill="1" applyBorder="1"/>
    <xf numFmtId="170" fontId="116" fillId="0" borderId="12" xfId="1" applyNumberFormat="1" applyFont="1" applyFill="1" applyBorder="1"/>
    <xf numFmtId="3" fontId="116" fillId="0" borderId="57" xfId="0" applyNumberFormat="1" applyFont="1" applyBorder="1"/>
    <xf numFmtId="0" fontId="91" fillId="0" borderId="0" xfId="0" applyFont="1"/>
    <xf numFmtId="39" fontId="85" fillId="0" borderId="0" xfId="0" applyNumberFormat="1" applyFont="1"/>
    <xf numFmtId="0" fontId="82" fillId="0" borderId="1" xfId="0" applyFont="1" applyBorder="1"/>
    <xf numFmtId="0" fontId="92" fillId="0" borderId="0" xfId="0" applyFont="1"/>
    <xf numFmtId="170" fontId="85" fillId="0" borderId="0" xfId="0" applyNumberFormat="1" applyFont="1"/>
    <xf numFmtId="170" fontId="86" fillId="0" borderId="0" xfId="0" applyNumberFormat="1" applyFont="1"/>
    <xf numFmtId="37" fontId="83" fillId="0" borderId="1" xfId="0" applyNumberFormat="1" applyFont="1" applyBorder="1"/>
    <xf numFmtId="0" fontId="86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2" fillId="0" borderId="1" xfId="0" applyFont="1" applyBorder="1" applyAlignment="1">
      <alignment horizontal="center" vertical="center"/>
    </xf>
    <xf numFmtId="0" fontId="114" fillId="0" borderId="0" xfId="0" applyFont="1"/>
    <xf numFmtId="167" fontId="79" fillId="0" borderId="1" xfId="0" applyNumberFormat="1" applyFont="1" applyBorder="1"/>
    <xf numFmtId="167" fontId="81" fillId="0" borderId="1" xfId="0" applyNumberFormat="1" applyFont="1" applyBorder="1"/>
    <xf numFmtId="167" fontId="80" fillId="0" borderId="1" xfId="0" applyNumberFormat="1" applyFont="1" applyBorder="1"/>
    <xf numFmtId="0" fontId="80" fillId="0" borderId="1" xfId="0" applyFont="1" applyBorder="1"/>
    <xf numFmtId="170" fontId="94" fillId="3" borderId="102" xfId="0" applyNumberFormat="1" applyFont="1" applyFill="1" applyBorder="1"/>
    <xf numFmtId="0" fontId="85" fillId="0" borderId="103" xfId="0" applyFont="1" applyBorder="1"/>
    <xf numFmtId="3" fontId="113" fillId="0" borderId="13" xfId="0" applyNumberFormat="1" applyFont="1" applyBorder="1"/>
    <xf numFmtId="3" fontId="113" fillId="0" borderId="22" xfId="0" applyNumberFormat="1" applyFont="1" applyBorder="1"/>
    <xf numFmtId="0" fontId="117" fillId="0" borderId="0" xfId="0" applyFont="1" applyAlignment="1">
      <alignment horizontal="left" vertical="top"/>
    </xf>
    <xf numFmtId="0" fontId="116" fillId="0" borderId="72" xfId="0" applyFont="1" applyBorder="1"/>
    <xf numFmtId="0" fontId="114" fillId="9" borderId="1" xfId="0" applyFont="1" applyFill="1" applyBorder="1"/>
    <xf numFmtId="0" fontId="118" fillId="0" borderId="79" xfId="0" applyFont="1" applyBorder="1"/>
    <xf numFmtId="4" fontId="119" fillId="0" borderId="0" xfId="0" applyNumberFormat="1" applyFont="1" applyAlignment="1">
      <alignment horizontal="center" vertical="top"/>
    </xf>
    <xf numFmtId="3" fontId="111" fillId="0" borderId="15" xfId="0" applyNumberFormat="1" applyFont="1" applyBorder="1"/>
    <xf numFmtId="0" fontId="107" fillId="10" borderId="48" xfId="0" applyFont="1" applyFill="1" applyBorder="1" applyAlignment="1">
      <alignment horizontal="left" vertical="top"/>
    </xf>
    <xf numFmtId="49" fontId="107" fillId="0" borderId="49" xfId="0" applyNumberFormat="1" applyFont="1" applyBorder="1" applyAlignment="1">
      <alignment horizontal="left" vertical="top"/>
    </xf>
    <xf numFmtId="1" fontId="107" fillId="10" borderId="48" xfId="0" applyNumberFormat="1" applyFont="1" applyFill="1" applyBorder="1" applyAlignment="1">
      <alignment horizontal="left" vertical="top"/>
    </xf>
    <xf numFmtId="1" fontId="107" fillId="0" borderId="49" xfId="0" applyNumberFormat="1" applyFont="1" applyBorder="1" applyAlignment="1">
      <alignment horizontal="left" vertical="top"/>
    </xf>
    <xf numFmtId="39" fontId="106" fillId="0" borderId="49" xfId="0" applyNumberFormat="1" applyFont="1" applyBorder="1" applyAlignment="1">
      <alignment horizontal="left" vertical="top"/>
    </xf>
    <xf numFmtId="0" fontId="107" fillId="0" borderId="49" xfId="0" applyFont="1" applyBorder="1" applyAlignment="1">
      <alignment horizontal="left" vertical="top"/>
    </xf>
    <xf numFmtId="0" fontId="106" fillId="0" borderId="49" xfId="0" applyFont="1" applyBorder="1" applyAlignment="1">
      <alignment horizontal="left" vertical="top"/>
    </xf>
    <xf numFmtId="49" fontId="106" fillId="0" borderId="49" xfId="0" applyNumberFormat="1" applyFont="1" applyBorder="1" applyAlignment="1">
      <alignment horizontal="left" vertical="top"/>
    </xf>
    <xf numFmtId="39" fontId="106" fillId="10" borderId="48" xfId="0" applyNumberFormat="1" applyFont="1" applyFill="1" applyBorder="1" applyAlignment="1">
      <alignment horizontal="left" vertical="top"/>
    </xf>
    <xf numFmtId="49" fontId="106" fillId="10" borderId="48" xfId="0" applyNumberFormat="1" applyFont="1" applyFill="1" applyBorder="1" applyAlignment="1">
      <alignment horizontal="left" vertical="top"/>
    </xf>
    <xf numFmtId="39" fontId="106" fillId="10" borderId="44" xfId="0" applyNumberFormat="1" applyFont="1" applyFill="1" applyBorder="1" applyAlignment="1">
      <alignment horizontal="left" vertical="top"/>
    </xf>
    <xf numFmtId="0" fontId="75" fillId="0" borderId="104" xfId="0" applyFont="1" applyBorder="1"/>
    <xf numFmtId="167" fontId="120" fillId="0" borderId="52" xfId="0" applyNumberFormat="1" applyFont="1" applyBorder="1"/>
    <xf numFmtId="165" fontId="79" fillId="0" borderId="7" xfId="0" applyNumberFormat="1" applyFont="1" applyBorder="1"/>
    <xf numFmtId="165" fontId="80" fillId="3" borderId="9" xfId="0" applyNumberFormat="1" applyFont="1" applyFill="1" applyBorder="1"/>
    <xf numFmtId="165" fontId="80" fillId="3" borderId="11" xfId="0" applyNumberFormat="1" applyFont="1" applyFill="1" applyBorder="1"/>
    <xf numFmtId="165" fontId="81" fillId="0" borderId="5" xfId="0" applyNumberFormat="1" applyFont="1" applyBorder="1"/>
    <xf numFmtId="165" fontId="75" fillId="0" borderId="7" xfId="0" applyNumberFormat="1" applyFont="1" applyBorder="1"/>
    <xf numFmtId="165" fontId="81" fillId="0" borderId="53" xfId="0" applyNumberFormat="1" applyFont="1" applyBorder="1"/>
    <xf numFmtId="0" fontId="105" fillId="0" borderId="0" xfId="0" applyFont="1" applyAlignment="1">
      <alignment horizontal="center"/>
    </xf>
    <xf numFmtId="4" fontId="75" fillId="12" borderId="0" xfId="0" applyNumberFormat="1" applyFont="1" applyFill="1" applyAlignment="1">
      <alignment horizontal="center" vertical="top"/>
    </xf>
    <xf numFmtId="39" fontId="111" fillId="0" borderId="105" xfId="0" applyNumberFormat="1" applyFont="1" applyBorder="1"/>
    <xf numFmtId="166" fontId="103" fillId="0" borderId="0" xfId="0" applyNumberFormat="1" applyFont="1" applyAlignment="1">
      <alignment horizontal="center" vertical="top"/>
    </xf>
    <xf numFmtId="166" fontId="75" fillId="0" borderId="0" xfId="0" applyNumberFormat="1" applyFont="1" applyAlignment="1">
      <alignment horizontal="center" vertical="top"/>
    </xf>
    <xf numFmtId="166" fontId="119" fillId="0" borderId="0" xfId="0" applyNumberFormat="1" applyFont="1" applyAlignment="1">
      <alignment horizontal="center" vertical="top"/>
    </xf>
    <xf numFmtId="166" fontId="75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5" fillId="14" borderId="0" xfId="0" applyNumberFormat="1" applyFont="1" applyFill="1" applyAlignment="1">
      <alignment horizontal="left" vertical="top"/>
    </xf>
    <xf numFmtId="166" fontId="75" fillId="14" borderId="0" xfId="0" applyNumberFormat="1" applyFont="1" applyFill="1" applyAlignment="1">
      <alignment horizontal="center" vertical="top"/>
    </xf>
    <xf numFmtId="4" fontId="75" fillId="14" borderId="0" xfId="0" applyNumberFormat="1" applyFont="1" applyFill="1" applyAlignment="1">
      <alignment horizontal="center" vertical="top"/>
    </xf>
    <xf numFmtId="37" fontId="86" fillId="3" borderId="17" xfId="0" applyNumberFormat="1" applyFont="1" applyFill="1" applyBorder="1"/>
    <xf numFmtId="0" fontId="85" fillId="3" borderId="20" xfId="0" applyFont="1" applyFill="1" applyBorder="1"/>
    <xf numFmtId="0" fontId="73" fillId="0" borderId="1" xfId="2"/>
    <xf numFmtId="0" fontId="121" fillId="0" borderId="1" xfId="2" applyFont="1" applyAlignment="1">
      <alignment horizontal="center"/>
    </xf>
    <xf numFmtId="0" fontId="121" fillId="0" borderId="1" xfId="2" applyFont="1"/>
    <xf numFmtId="0" fontId="122" fillId="0" borderId="1" xfId="2" applyFont="1"/>
    <xf numFmtId="169" fontId="123" fillId="0" borderId="1" xfId="2" applyNumberFormat="1" applyFont="1" applyAlignment="1">
      <alignment horizontal="left"/>
    </xf>
    <xf numFmtId="0" fontId="123" fillId="0" borderId="1" xfId="2" applyFont="1"/>
    <xf numFmtId="0" fontId="124" fillId="0" borderId="1" xfId="2" applyFont="1"/>
    <xf numFmtId="0" fontId="111" fillId="0" borderId="1" xfId="2" applyFont="1"/>
    <xf numFmtId="0" fontId="125" fillId="0" borderId="1" xfId="2" applyFont="1"/>
    <xf numFmtId="0" fontId="126" fillId="0" borderId="1" xfId="2" applyFont="1"/>
    <xf numFmtId="0" fontId="127" fillId="0" borderId="1" xfId="2" applyFont="1"/>
    <xf numFmtId="0" fontId="129" fillId="15" borderId="1" xfId="2" applyFont="1" applyFill="1"/>
    <xf numFmtId="0" fontId="127" fillId="15" borderId="1" xfId="2" applyFont="1" applyFill="1"/>
    <xf numFmtId="0" fontId="130" fillId="15" borderId="1" xfId="2" applyFont="1" applyFill="1"/>
    <xf numFmtId="0" fontId="131" fillId="15" borderId="1" xfId="2" applyFont="1" applyFill="1" applyAlignment="1">
      <alignment horizontal="centerContinuous" vertical="center"/>
    </xf>
    <xf numFmtId="0" fontId="127" fillId="15" borderId="1" xfId="2" applyFont="1" applyFill="1" applyAlignment="1">
      <alignment horizontal="centerContinuous" vertical="center"/>
    </xf>
    <xf numFmtId="0" fontId="129" fillId="15" borderId="1" xfId="2" applyFont="1" applyFill="1" applyAlignment="1">
      <alignment horizontal="centerContinuous"/>
    </xf>
    <xf numFmtId="0" fontId="127" fillId="15" borderId="1" xfId="2" applyFont="1" applyFill="1" applyAlignment="1">
      <alignment horizontal="centerContinuous"/>
    </xf>
    <xf numFmtId="0" fontId="132" fillId="15" borderId="1" xfId="2" applyFont="1" applyFill="1" applyAlignment="1">
      <alignment horizontal="center"/>
    </xf>
    <xf numFmtId="170" fontId="127" fillId="15" borderId="1" xfId="2" applyNumberFormat="1" applyFont="1" applyFill="1"/>
    <xf numFmtId="37" fontId="127" fillId="15" borderId="1" xfId="2" applyNumberFormat="1" applyFont="1" applyFill="1"/>
    <xf numFmtId="170" fontId="129" fillId="15" borderId="1" xfId="2" applyNumberFormat="1" applyFont="1" applyFill="1"/>
    <xf numFmtId="37" fontId="129" fillId="15" borderId="1" xfId="2" applyNumberFormat="1" applyFont="1" applyFill="1"/>
    <xf numFmtId="0" fontId="133" fillId="15" borderId="1" xfId="2" applyFont="1" applyFill="1"/>
    <xf numFmtId="0" fontId="132" fillId="15" borderId="1" xfId="2" applyFont="1" applyFill="1" applyAlignment="1">
      <alignment horizontal="centerContinuous"/>
    </xf>
    <xf numFmtId="0" fontId="132" fillId="15" borderId="1" xfId="2" applyFont="1" applyFill="1" applyAlignment="1">
      <alignment horizontal="left"/>
    </xf>
    <xf numFmtId="0" fontId="134" fillId="15" borderId="1" xfId="2" applyFont="1" applyFill="1" applyProtection="1">
      <protection locked="0"/>
    </xf>
    <xf numFmtId="0" fontId="127" fillId="15" borderId="1" xfId="2" applyFont="1" applyFill="1" applyAlignment="1">
      <alignment horizontal="center"/>
    </xf>
    <xf numFmtId="0" fontId="135" fillId="15" borderId="1" xfId="2" applyFont="1" applyFill="1" applyAlignment="1">
      <alignment horizontal="centerContinuous"/>
    </xf>
    <xf numFmtId="0" fontId="129" fillId="15" borderId="1" xfId="2" applyFont="1" applyFill="1" applyAlignment="1">
      <alignment horizontal="left"/>
    </xf>
    <xf numFmtId="0" fontId="73" fillId="0" borderId="1" xfId="2" applyAlignment="1">
      <alignment horizontal="center"/>
    </xf>
    <xf numFmtId="0" fontId="136" fillId="0" borderId="1" xfId="2" applyFont="1" applyAlignment="1">
      <alignment horizontal="center"/>
    </xf>
    <xf numFmtId="0" fontId="121" fillId="12" borderId="56" xfId="2" applyFont="1" applyFill="1" applyBorder="1" applyAlignment="1">
      <alignment horizontal="center"/>
    </xf>
    <xf numFmtId="0" fontId="124" fillId="0" borderId="1" xfId="2" applyFont="1" applyAlignment="1">
      <alignment horizontal="center"/>
    </xf>
    <xf numFmtId="0" fontId="84" fillId="0" borderId="0" xfId="0" applyFont="1" applyAlignment="1">
      <alignment horizontal="center"/>
    </xf>
    <xf numFmtId="170" fontId="85" fillId="0" borderId="1" xfId="1" applyNumberFormat="1" applyFont="1" applyFill="1" applyBorder="1"/>
    <xf numFmtId="170" fontId="86" fillId="0" borderId="9" xfId="0" applyNumberFormat="1" applyFont="1" applyBorder="1"/>
    <xf numFmtId="3" fontId="85" fillId="0" borderId="22" xfId="0" applyNumberFormat="1" applyFont="1" applyBorder="1" applyAlignment="1">
      <alignment horizontal="right"/>
    </xf>
    <xf numFmtId="0" fontId="137" fillId="0" borderId="0" xfId="0" applyFont="1"/>
    <xf numFmtId="0" fontId="87" fillId="0" borderId="0" xfId="0" applyFont="1"/>
    <xf numFmtId="3" fontId="85" fillId="0" borderId="166" xfId="0" applyNumberFormat="1" applyFont="1" applyBorder="1"/>
    <xf numFmtId="3" fontId="85" fillId="0" borderId="167" xfId="0" applyNumberFormat="1" applyFont="1" applyBorder="1"/>
    <xf numFmtId="3" fontId="85" fillId="0" borderId="168" xfId="0" applyNumberFormat="1" applyFont="1" applyBorder="1"/>
    <xf numFmtId="0" fontId="138" fillId="0" borderId="0" xfId="0" applyFont="1"/>
    <xf numFmtId="0" fontId="111" fillId="0" borderId="110" xfId="0" applyFont="1" applyBorder="1"/>
    <xf numFmtId="170" fontId="94" fillId="3" borderId="59" xfId="0" applyNumberFormat="1" applyFont="1" applyFill="1" applyBorder="1"/>
    <xf numFmtId="0" fontId="72" fillId="0" borderId="1" xfId="3"/>
    <xf numFmtId="0" fontId="139" fillId="0" borderId="171" xfId="3" applyFont="1" applyBorder="1"/>
    <xf numFmtId="0" fontId="72" fillId="0" borderId="171" xfId="3" applyBorder="1"/>
    <xf numFmtId="0" fontId="72" fillId="0" borderId="171" xfId="3" applyBorder="1" applyAlignment="1">
      <alignment horizontal="left" indent="1"/>
    </xf>
    <xf numFmtId="0" fontId="139" fillId="0" borderId="187" xfId="3" applyFont="1" applyBorder="1"/>
    <xf numFmtId="0" fontId="139" fillId="16" borderId="169" xfId="3" applyFont="1" applyFill="1" applyBorder="1" applyAlignment="1">
      <alignment horizontal="center"/>
    </xf>
    <xf numFmtId="0" fontId="139" fillId="16" borderId="176" xfId="3" applyFont="1" applyFill="1" applyBorder="1" applyAlignment="1">
      <alignment horizontal="center"/>
    </xf>
    <xf numFmtId="0" fontId="139" fillId="16" borderId="177" xfId="3" applyFont="1" applyFill="1" applyBorder="1" applyAlignment="1">
      <alignment horizontal="center"/>
    </xf>
    <xf numFmtId="0" fontId="139" fillId="16" borderId="170" xfId="3" applyFont="1" applyFill="1" applyBorder="1" applyAlignment="1">
      <alignment horizontal="center"/>
    </xf>
    <xf numFmtId="0" fontId="139" fillId="17" borderId="169" xfId="3" applyFont="1" applyFill="1" applyBorder="1" applyAlignment="1">
      <alignment horizontal="center"/>
    </xf>
    <xf numFmtId="0" fontId="139" fillId="17" borderId="176" xfId="3" applyFont="1" applyFill="1" applyBorder="1" applyAlignment="1">
      <alignment horizontal="center"/>
    </xf>
    <xf numFmtId="0" fontId="139" fillId="17" borderId="177" xfId="3" applyFont="1" applyFill="1" applyBorder="1" applyAlignment="1">
      <alignment horizontal="center"/>
    </xf>
    <xf numFmtId="0" fontId="139" fillId="17" borderId="178" xfId="3" applyFont="1" applyFill="1" applyBorder="1" applyAlignment="1">
      <alignment horizontal="center"/>
    </xf>
    <xf numFmtId="0" fontId="139" fillId="17" borderId="170" xfId="3" applyFont="1" applyFill="1" applyBorder="1" applyAlignment="1">
      <alignment horizontal="center"/>
    </xf>
    <xf numFmtId="0" fontId="72" fillId="0" borderId="1" xfId="3" applyAlignment="1">
      <alignment horizontal="center"/>
    </xf>
    <xf numFmtId="0" fontId="139" fillId="11" borderId="169" xfId="3" applyFont="1" applyFill="1" applyBorder="1" applyAlignment="1">
      <alignment horizontal="center"/>
    </xf>
    <xf numFmtId="0" fontId="139" fillId="11" borderId="176" xfId="3" applyFont="1" applyFill="1" applyBorder="1" applyAlignment="1">
      <alignment horizontal="center"/>
    </xf>
    <xf numFmtId="0" fontId="139" fillId="11" borderId="177" xfId="3" applyFont="1" applyFill="1" applyBorder="1" applyAlignment="1">
      <alignment horizontal="center"/>
    </xf>
    <xf numFmtId="0" fontId="139" fillId="11" borderId="170" xfId="3" applyFont="1" applyFill="1" applyBorder="1" applyAlignment="1">
      <alignment horizontal="center"/>
    </xf>
    <xf numFmtId="37" fontId="139" fillId="0" borderId="179" xfId="3" applyNumberFormat="1" applyFont="1" applyBorder="1" applyAlignment="1">
      <alignment horizontal="center"/>
    </xf>
    <xf numFmtId="1" fontId="139" fillId="0" borderId="180" xfId="3" applyNumberFormat="1" applyFont="1" applyBorder="1" applyAlignment="1">
      <alignment horizontal="center"/>
    </xf>
    <xf numFmtId="1" fontId="139" fillId="0" borderId="172" xfId="3" applyNumberFormat="1" applyFont="1" applyBorder="1" applyAlignment="1">
      <alignment horizontal="center"/>
    </xf>
    <xf numFmtId="166" fontId="139" fillId="0" borderId="179" xfId="3" applyNumberFormat="1" applyFont="1" applyBorder="1" applyAlignment="1">
      <alignment horizontal="center"/>
    </xf>
    <xf numFmtId="166" fontId="139" fillId="0" borderId="180" xfId="3" applyNumberFormat="1" applyFont="1" applyBorder="1" applyAlignment="1">
      <alignment horizontal="center"/>
    </xf>
    <xf numFmtId="166" fontId="139" fillId="0" borderId="172" xfId="3" applyNumberFormat="1" applyFont="1" applyBorder="1" applyAlignment="1">
      <alignment horizontal="center"/>
    </xf>
    <xf numFmtId="0" fontId="72" fillId="0" borderId="174" xfId="3" applyBorder="1"/>
    <xf numFmtId="0" fontId="139" fillId="18" borderId="169" xfId="3" applyFont="1" applyFill="1" applyBorder="1" applyAlignment="1">
      <alignment horizontal="center"/>
    </xf>
    <xf numFmtId="0" fontId="139" fillId="18" borderId="176" xfId="3" applyFont="1" applyFill="1" applyBorder="1" applyAlignment="1">
      <alignment horizontal="center"/>
    </xf>
    <xf numFmtId="0" fontId="139" fillId="18" borderId="177" xfId="3" applyFont="1" applyFill="1" applyBorder="1" applyAlignment="1">
      <alignment horizontal="center"/>
    </xf>
    <xf numFmtId="0" fontId="139" fillId="18" borderId="170" xfId="3" applyFont="1" applyFill="1" applyBorder="1" applyAlignment="1">
      <alignment horizontal="center"/>
    </xf>
    <xf numFmtId="0" fontId="139" fillId="0" borderId="171" xfId="3" applyFont="1" applyBorder="1" applyAlignment="1">
      <alignment horizontal="left"/>
    </xf>
    <xf numFmtId="0" fontId="139" fillId="19" borderId="169" xfId="3" applyFont="1" applyFill="1" applyBorder="1" applyAlignment="1">
      <alignment horizontal="center"/>
    </xf>
    <xf numFmtId="0" fontId="139" fillId="19" borderId="176" xfId="3" applyFont="1" applyFill="1" applyBorder="1" applyAlignment="1">
      <alignment horizontal="center"/>
    </xf>
    <xf numFmtId="0" fontId="139" fillId="19" borderId="177" xfId="3" applyFont="1" applyFill="1" applyBorder="1" applyAlignment="1">
      <alignment horizontal="center"/>
    </xf>
    <xf numFmtId="0" fontId="139" fillId="19" borderId="170" xfId="3" applyFont="1" applyFill="1" applyBorder="1" applyAlignment="1">
      <alignment horizontal="center"/>
    </xf>
    <xf numFmtId="0" fontId="88" fillId="0" borderId="103" xfId="0" applyFont="1" applyBorder="1"/>
    <xf numFmtId="0" fontId="88" fillId="0" borderId="191" xfId="0" applyFont="1" applyBorder="1"/>
    <xf numFmtId="0" fontId="88" fillId="0" borderId="56" xfId="0" applyFont="1" applyBorder="1" applyAlignment="1">
      <alignment horizontal="right"/>
    </xf>
    <xf numFmtId="0" fontId="88" fillId="0" borderId="56" xfId="0" applyFont="1" applyBorder="1"/>
    <xf numFmtId="37" fontId="88" fillId="0" borderId="192" xfId="0" applyNumberFormat="1" applyFont="1" applyBorder="1"/>
    <xf numFmtId="0" fontId="88" fillId="0" borderId="193" xfId="0" applyFont="1" applyBorder="1"/>
    <xf numFmtId="171" fontId="88" fillId="0" borderId="56" xfId="0" applyNumberFormat="1" applyFont="1" applyBorder="1"/>
    <xf numFmtId="37" fontId="88" fillId="0" borderId="193" xfId="0" applyNumberFormat="1" applyFont="1" applyBorder="1"/>
    <xf numFmtId="37" fontId="88" fillId="0" borderId="56" xfId="0" applyNumberFormat="1" applyFont="1" applyBorder="1"/>
    <xf numFmtId="170" fontId="88" fillId="0" borderId="56" xfId="0" applyNumberFormat="1" applyFont="1" applyBorder="1"/>
    <xf numFmtId="37" fontId="88" fillId="0" borderId="194" xfId="0" applyNumberFormat="1" applyFont="1" applyBorder="1"/>
    <xf numFmtId="170" fontId="88" fillId="0" borderId="195" xfId="0" applyNumberFormat="1" applyFont="1" applyBorder="1"/>
    <xf numFmtId="0" fontId="0" fillId="12" borderId="0" xfId="0" applyFill="1"/>
    <xf numFmtId="49" fontId="70" fillId="12" borderId="1" xfId="6" applyNumberFormat="1" applyFill="1" applyAlignment="1">
      <alignment horizontal="left" vertical="center"/>
    </xf>
    <xf numFmtId="173" fontId="70" fillId="12" borderId="1" xfId="6" applyNumberFormat="1" applyFill="1" applyAlignment="1">
      <alignment horizontal="right" vertical="center"/>
    </xf>
    <xf numFmtId="0" fontId="70" fillId="12" borderId="1" xfId="6" applyFill="1"/>
    <xf numFmtId="0" fontId="111" fillId="0" borderId="109" xfId="0" applyFont="1" applyBorder="1"/>
    <xf numFmtId="0" fontId="112" fillId="0" borderId="109" xfId="0" applyFont="1" applyBorder="1"/>
    <xf numFmtId="0" fontId="111" fillId="0" borderId="0" xfId="0" applyFont="1"/>
    <xf numFmtId="0" fontId="112" fillId="20" borderId="118" xfId="0" applyFont="1" applyFill="1" applyBorder="1"/>
    <xf numFmtId="0" fontId="112" fillId="20" borderId="121" xfId="0" applyFont="1" applyFill="1" applyBorder="1"/>
    <xf numFmtId="0" fontId="112" fillId="15" borderId="110" xfId="0" applyFont="1" applyFill="1" applyBorder="1"/>
    <xf numFmtId="0" fontId="112" fillId="0" borderId="110" xfId="0" applyFont="1" applyBorder="1" applyAlignment="1">
      <alignment horizontal="left"/>
    </xf>
    <xf numFmtId="0" fontId="111" fillId="0" borderId="112" xfId="0" applyFont="1" applyBorder="1"/>
    <xf numFmtId="0" fontId="112" fillId="20" borderId="124" xfId="0" applyFont="1" applyFill="1" applyBorder="1"/>
    <xf numFmtId="0" fontId="112" fillId="20" borderId="127" xfId="0" applyFont="1" applyFill="1" applyBorder="1"/>
    <xf numFmtId="0" fontId="112" fillId="20" borderId="129" xfId="0" applyFont="1" applyFill="1" applyBorder="1"/>
    <xf numFmtId="0" fontId="111" fillId="15" borderId="112" xfId="0" applyFont="1" applyFill="1" applyBorder="1"/>
    <xf numFmtId="0" fontId="112" fillId="20" borderId="133" xfId="0" applyFont="1" applyFill="1" applyBorder="1"/>
    <xf numFmtId="0" fontId="125" fillId="0" borderId="0" xfId="0" applyFont="1"/>
    <xf numFmtId="0" fontId="123" fillId="0" borderId="0" xfId="0" applyFont="1"/>
    <xf numFmtId="0" fontId="122" fillId="0" borderId="0" xfId="0" applyFont="1"/>
    <xf numFmtId="169" fontId="123" fillId="0" borderId="0" xfId="0" applyNumberFormat="1" applyFont="1" applyAlignment="1">
      <alignment horizontal="left"/>
    </xf>
    <xf numFmtId="0" fontId="112" fillId="0" borderId="110" xfId="0" applyFont="1" applyBorder="1"/>
    <xf numFmtId="0" fontId="112" fillId="0" borderId="0" xfId="0" applyFont="1"/>
    <xf numFmtId="0" fontId="112" fillId="15" borderId="118" xfId="0" applyFont="1" applyFill="1" applyBorder="1"/>
    <xf numFmtId="0" fontId="112" fillId="15" borderId="112" xfId="0" applyFont="1" applyFill="1" applyBorder="1"/>
    <xf numFmtId="0" fontId="112" fillId="15" borderId="109" xfId="0" applyFont="1" applyFill="1" applyBorder="1"/>
    <xf numFmtId="0" fontId="111" fillId="15" borderId="110" xfId="0" applyFont="1" applyFill="1" applyBorder="1"/>
    <xf numFmtId="0" fontId="115" fillId="0" borderId="110" xfId="0" applyFont="1" applyBorder="1"/>
    <xf numFmtId="0" fontId="112" fillId="20" borderId="139" xfId="0" applyFont="1" applyFill="1" applyBorder="1"/>
    <xf numFmtId="0" fontId="112" fillId="20" borderId="140" xfId="0" applyFont="1" applyFill="1" applyBorder="1"/>
    <xf numFmtId="0" fontId="115" fillId="0" borderId="112" xfId="0" applyFont="1" applyBorder="1"/>
    <xf numFmtId="0" fontId="115" fillId="15" borderId="110" xfId="0" applyFont="1" applyFill="1" applyBorder="1"/>
    <xf numFmtId="0" fontId="115" fillId="0" borderId="109" xfId="0" applyFont="1" applyBorder="1"/>
    <xf numFmtId="0" fontId="115" fillId="0" borderId="138" xfId="0" applyFont="1" applyBorder="1"/>
    <xf numFmtId="0" fontId="112" fillId="20" borderId="143" xfId="0" applyFont="1" applyFill="1" applyBorder="1"/>
    <xf numFmtId="0" fontId="128" fillId="0" borderId="1" xfId="0" applyFont="1" applyBorder="1" applyAlignment="1">
      <alignment horizontal="centerContinuous" vertical="center"/>
    </xf>
    <xf numFmtId="0" fontId="111" fillId="0" borderId="147" xfId="0" applyFont="1" applyBorder="1"/>
    <xf numFmtId="0" fontId="115" fillId="0" borderId="147" xfId="0" applyFont="1" applyBorder="1"/>
    <xf numFmtId="0" fontId="128" fillId="20" borderId="147" xfId="0" applyFont="1" applyFill="1" applyBorder="1"/>
    <xf numFmtId="0" fontId="128" fillId="0" borderId="72" xfId="0" applyFont="1" applyBorder="1"/>
    <xf numFmtId="0" fontId="115" fillId="0" borderId="72" xfId="0" applyFont="1" applyBorder="1"/>
    <xf numFmtId="0" fontId="111" fillId="0" borderId="72" xfId="0" applyFont="1" applyBorder="1"/>
    <xf numFmtId="0" fontId="128" fillId="20" borderId="149" xfId="0" applyFont="1" applyFill="1" applyBorder="1"/>
    <xf numFmtId="0" fontId="115" fillId="15" borderId="72" xfId="0" applyFont="1" applyFill="1" applyBorder="1"/>
    <xf numFmtId="0" fontId="115" fillId="0" borderId="151" xfId="0" applyFont="1" applyBorder="1"/>
    <xf numFmtId="0" fontId="128" fillId="15" borderId="151" xfId="0" applyFont="1" applyFill="1" applyBorder="1"/>
    <xf numFmtId="0" fontId="128" fillId="20" borderId="153" xfId="0" applyFont="1" applyFill="1" applyBorder="1"/>
    <xf numFmtId="0" fontId="128" fillId="20" borderId="156" xfId="0" applyFont="1" applyFill="1" applyBorder="1"/>
    <xf numFmtId="0" fontId="127" fillId="0" borderId="160" xfId="0" applyFont="1" applyBorder="1"/>
    <xf numFmtId="0" fontId="115" fillId="0" borderId="160" xfId="0" applyFont="1" applyBorder="1"/>
    <xf numFmtId="0" fontId="111" fillId="0" borderId="160" xfId="0" applyFont="1" applyBorder="1"/>
    <xf numFmtId="0" fontId="111" fillId="0" borderId="161" xfId="0" applyFont="1" applyBorder="1"/>
    <xf numFmtId="0" fontId="128" fillId="20" borderId="162" xfId="0" applyFont="1" applyFill="1" applyBorder="1"/>
    <xf numFmtId="0" fontId="112" fillId="0" borderId="116" xfId="0" applyFont="1" applyBorder="1"/>
    <xf numFmtId="0" fontId="112" fillId="0" borderId="112" xfId="0" applyFont="1" applyBorder="1"/>
    <xf numFmtId="0" fontId="111" fillId="15" borderId="138" xfId="0" applyFont="1" applyFill="1" applyBorder="1"/>
    <xf numFmtId="49" fontId="68" fillId="12" borderId="1" xfId="8" applyNumberFormat="1" applyFill="1" applyAlignment="1">
      <alignment horizontal="left" vertical="center"/>
    </xf>
    <xf numFmtId="173" fontId="68" fillId="12" borderId="1" xfId="8" applyNumberFormat="1" applyFill="1" applyAlignment="1">
      <alignment horizontal="right" vertical="center"/>
    </xf>
    <xf numFmtId="0" fontId="68" fillId="12" borderId="1" xfId="8" applyFill="1"/>
    <xf numFmtId="0" fontId="112" fillId="0" borderId="106" xfId="0" applyFont="1" applyBorder="1" applyAlignment="1">
      <alignment horizontal="center"/>
    </xf>
    <xf numFmtId="0" fontId="112" fillId="0" borderId="146" xfId="0" applyFont="1" applyBorder="1" applyAlignment="1">
      <alignment horizontal="center"/>
    </xf>
    <xf numFmtId="49" fontId="141" fillId="12" borderId="1" xfId="9" applyNumberFormat="1" applyFont="1" applyFill="1" applyAlignment="1">
      <alignment horizontal="left" vertical="center"/>
    </xf>
    <xf numFmtId="173" fontId="141" fillId="12" borderId="1" xfId="9" applyNumberFormat="1" applyFont="1" applyFill="1" applyAlignment="1">
      <alignment horizontal="right" vertical="center"/>
    </xf>
    <xf numFmtId="49" fontId="67" fillId="12" borderId="1" xfId="9" applyNumberFormat="1" applyFill="1" applyAlignment="1">
      <alignment horizontal="left" vertical="center"/>
    </xf>
    <xf numFmtId="173" fontId="67" fillId="12" borderId="1" xfId="9" applyNumberFormat="1" applyFill="1" applyAlignment="1">
      <alignment horizontal="right" vertical="center"/>
    </xf>
    <xf numFmtId="0" fontId="67" fillId="12" borderId="1" xfId="9" applyFill="1"/>
    <xf numFmtId="49" fontId="106" fillId="0" borderId="44" xfId="0" applyNumberFormat="1" applyFont="1" applyBorder="1" applyAlignment="1">
      <alignment horizontal="left" vertical="top"/>
    </xf>
    <xf numFmtId="0" fontId="74" fillId="0" borderId="0" xfId="0" applyFont="1" applyAlignment="1">
      <alignment horizontal="center"/>
    </xf>
    <xf numFmtId="166" fontId="75" fillId="0" borderId="1" xfId="0" applyNumberFormat="1" applyFont="1" applyBorder="1" applyAlignment="1">
      <alignment horizontal="center"/>
    </xf>
    <xf numFmtId="0" fontId="142" fillId="0" borderId="0" xfId="0" applyFont="1"/>
    <xf numFmtId="0" fontId="142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43" fillId="0" borderId="0" xfId="0" applyFont="1"/>
    <xf numFmtId="2" fontId="86" fillId="0" borderId="15" xfId="0" applyNumberFormat="1" applyFont="1" applyBorder="1"/>
    <xf numFmtId="166" fontId="66" fillId="0" borderId="179" xfId="3" applyNumberFormat="1" applyFont="1" applyBorder="1" applyAlignment="1">
      <alignment horizontal="center"/>
    </xf>
    <xf numFmtId="166" fontId="66" fillId="0" borderId="180" xfId="3" applyNumberFormat="1" applyFont="1" applyBorder="1" applyAlignment="1">
      <alignment horizontal="center"/>
    </xf>
    <xf numFmtId="166" fontId="66" fillId="0" borderId="172" xfId="3" applyNumberFormat="1" applyFont="1" applyBorder="1" applyAlignment="1">
      <alignment horizontal="center"/>
    </xf>
    <xf numFmtId="9" fontId="66" fillId="0" borderId="180" xfId="4" applyFont="1" applyBorder="1" applyAlignment="1">
      <alignment horizontal="center"/>
    </xf>
    <xf numFmtId="9" fontId="66" fillId="0" borderId="181" xfId="4" applyFont="1" applyBorder="1" applyAlignment="1">
      <alignment horizontal="center"/>
    </xf>
    <xf numFmtId="9" fontId="66" fillId="0" borderId="179" xfId="4" applyFont="1" applyFill="1" applyBorder="1" applyAlignment="1">
      <alignment horizontal="center"/>
    </xf>
    <xf numFmtId="9" fontId="66" fillId="0" borderId="172" xfId="4" applyFont="1" applyBorder="1" applyAlignment="1">
      <alignment horizontal="center"/>
    </xf>
    <xf numFmtId="0" fontId="66" fillId="0" borderId="188" xfId="3" applyFont="1" applyBorder="1"/>
    <xf numFmtId="166" fontId="66" fillId="0" borderId="189" xfId="3" applyNumberFormat="1" applyFont="1" applyBorder="1" applyAlignment="1">
      <alignment horizontal="center"/>
    </xf>
    <xf numFmtId="166" fontId="66" fillId="0" borderId="190" xfId="3" applyNumberFormat="1" applyFont="1" applyBorder="1" applyAlignment="1">
      <alignment horizontal="center"/>
    </xf>
    <xf numFmtId="9" fontId="66" fillId="0" borderId="189" xfId="4" applyFont="1" applyBorder="1" applyAlignment="1">
      <alignment horizontal="center"/>
    </xf>
    <xf numFmtId="166" fontId="66" fillId="0" borderId="185" xfId="3" applyNumberFormat="1" applyFont="1" applyBorder="1" applyAlignment="1">
      <alignment horizontal="center"/>
    </xf>
    <xf numFmtId="166" fontId="66" fillId="0" borderId="175" xfId="3" applyNumberFormat="1" applyFont="1" applyBorder="1" applyAlignment="1">
      <alignment horizontal="center"/>
    </xf>
    <xf numFmtId="9" fontId="66" fillId="0" borderId="185" xfId="4" applyFont="1" applyBorder="1" applyAlignment="1">
      <alignment horizontal="center"/>
    </xf>
    <xf numFmtId="0" fontId="66" fillId="0" borderId="1" xfId="3" applyFont="1"/>
    <xf numFmtId="166" fontId="66" fillId="0" borderId="179" xfId="4" applyNumberFormat="1" applyFont="1" applyFill="1" applyBorder="1" applyAlignment="1">
      <alignment horizontal="center"/>
    </xf>
    <xf numFmtId="166" fontId="66" fillId="0" borderId="184" xfId="3" applyNumberFormat="1" applyFont="1" applyBorder="1" applyAlignment="1">
      <alignment horizontal="center"/>
    </xf>
    <xf numFmtId="0" fontId="66" fillId="0" borderId="171" xfId="3" applyFont="1" applyBorder="1" applyAlignment="1">
      <alignment horizontal="left" indent="1"/>
    </xf>
    <xf numFmtId="0" fontId="66" fillId="0" borderId="171" xfId="3" applyFont="1" applyBorder="1" applyAlignment="1">
      <alignment horizontal="left"/>
    </xf>
    <xf numFmtId="9" fontId="66" fillId="0" borderId="179" xfId="1" applyFont="1" applyBorder="1" applyAlignment="1">
      <alignment horizontal="center"/>
    </xf>
    <xf numFmtId="0" fontId="66" fillId="0" borderId="174" xfId="3" applyFont="1" applyBorder="1" applyAlignment="1">
      <alignment horizontal="left"/>
    </xf>
    <xf numFmtId="0" fontId="139" fillId="21" borderId="169" xfId="3" applyFont="1" applyFill="1" applyBorder="1" applyAlignment="1">
      <alignment horizontal="center"/>
    </xf>
    <xf numFmtId="0" fontId="139" fillId="21" borderId="176" xfId="3" applyFont="1" applyFill="1" applyBorder="1" applyAlignment="1">
      <alignment horizontal="center"/>
    </xf>
    <xf numFmtId="0" fontId="139" fillId="21" borderId="177" xfId="3" applyFont="1" applyFill="1" applyBorder="1" applyAlignment="1">
      <alignment horizontal="center"/>
    </xf>
    <xf numFmtId="0" fontId="139" fillId="21" borderId="170" xfId="3" applyFont="1" applyFill="1" applyBorder="1" applyAlignment="1">
      <alignment horizontal="center"/>
    </xf>
    <xf numFmtId="0" fontId="72" fillId="0" borderId="171" xfId="3" applyBorder="1" applyAlignment="1">
      <alignment horizontal="left"/>
    </xf>
    <xf numFmtId="166" fontId="66" fillId="0" borderId="179" xfId="1" applyNumberFormat="1" applyFont="1" applyBorder="1" applyAlignment="1">
      <alignment horizontal="center"/>
    </xf>
    <xf numFmtId="166" fontId="72" fillId="0" borderId="183" xfId="3" applyNumberFormat="1" applyBorder="1" applyAlignment="1">
      <alignment horizontal="center"/>
    </xf>
    <xf numFmtId="166" fontId="72" fillId="0" borderId="198" xfId="3" applyNumberFormat="1" applyBorder="1" applyAlignment="1">
      <alignment horizontal="center"/>
    </xf>
    <xf numFmtId="166" fontId="72" fillId="0" borderId="180" xfId="3" applyNumberFormat="1" applyBorder="1" applyAlignment="1">
      <alignment horizontal="center"/>
    </xf>
    <xf numFmtId="166" fontId="72" fillId="0" borderId="172" xfId="3" applyNumberFormat="1" applyBorder="1" applyAlignment="1">
      <alignment horizontal="center"/>
    </xf>
    <xf numFmtId="170" fontId="66" fillId="0" borderId="179" xfId="1" applyNumberFormat="1" applyFont="1" applyBorder="1" applyAlignment="1">
      <alignment horizontal="center"/>
    </xf>
    <xf numFmtId="0" fontId="72" fillId="0" borderId="174" xfId="3" applyBorder="1" applyAlignment="1">
      <alignment horizontal="left"/>
    </xf>
    <xf numFmtId="170" fontId="66" fillId="0" borderId="184" xfId="1" applyNumberFormat="1" applyFont="1" applyBorder="1" applyAlignment="1">
      <alignment horizontal="center"/>
    </xf>
    <xf numFmtId="0" fontId="139" fillId="0" borderId="1" xfId="3" applyFont="1"/>
    <xf numFmtId="49" fontId="64" fillId="12" borderId="1" xfId="12" applyNumberFormat="1" applyFill="1" applyAlignment="1">
      <alignment horizontal="left" vertical="center"/>
    </xf>
    <xf numFmtId="0" fontId="64" fillId="12" borderId="1" xfId="12" applyFill="1"/>
    <xf numFmtId="2" fontId="64" fillId="12" borderId="1" xfId="12" applyNumberFormat="1" applyFill="1" applyAlignment="1">
      <alignment horizontal="right" vertical="center"/>
    </xf>
    <xf numFmtId="10" fontId="93" fillId="0" borderId="0" xfId="0" applyNumberFormat="1" applyFont="1"/>
    <xf numFmtId="1" fontId="93" fillId="0" borderId="0" xfId="0" applyNumberFormat="1" applyFont="1"/>
    <xf numFmtId="9" fontId="66" fillId="0" borderId="179" xfId="1" applyFont="1" applyFill="1" applyBorder="1" applyAlignment="1">
      <alignment horizontal="center"/>
    </xf>
    <xf numFmtId="170" fontId="66" fillId="0" borderId="180" xfId="4" applyNumberFormat="1" applyFont="1" applyBorder="1" applyAlignment="1">
      <alignment horizontal="center"/>
    </xf>
    <xf numFmtId="170" fontId="66" fillId="0" borderId="181" xfId="4" applyNumberFormat="1" applyFont="1" applyBorder="1" applyAlignment="1">
      <alignment horizontal="center"/>
    </xf>
    <xf numFmtId="170" fontId="66" fillId="0" borderId="185" xfId="4" applyNumberFormat="1" applyFont="1" applyBorder="1" applyAlignment="1">
      <alignment horizontal="center"/>
    </xf>
    <xf numFmtId="170" fontId="66" fillId="0" borderId="186" xfId="4" applyNumberFormat="1" applyFont="1" applyBorder="1" applyAlignment="1">
      <alignment horizontal="center"/>
    </xf>
    <xf numFmtId="174" fontId="66" fillId="0" borderId="180" xfId="3" applyNumberFormat="1" applyFont="1" applyBorder="1" applyAlignment="1">
      <alignment horizontal="center"/>
    </xf>
    <xf numFmtId="174" fontId="66" fillId="0" borderId="172" xfId="3" applyNumberFormat="1" applyFont="1" applyBorder="1" applyAlignment="1">
      <alignment horizontal="center"/>
    </xf>
    <xf numFmtId="0" fontId="66" fillId="22" borderId="171" xfId="3" applyFont="1" applyFill="1" applyBorder="1" applyAlignment="1">
      <alignment horizontal="left"/>
    </xf>
    <xf numFmtId="174" fontId="66" fillId="22" borderId="179" xfId="3" applyNumberFormat="1" applyFont="1" applyFill="1" applyBorder="1" applyAlignment="1">
      <alignment horizontal="center"/>
    </xf>
    <xf numFmtId="0" fontId="72" fillId="22" borderId="171" xfId="3" applyFill="1" applyBorder="1" applyAlignment="1">
      <alignment horizontal="left" indent="1"/>
    </xf>
    <xf numFmtId="37" fontId="62" fillId="22" borderId="171" xfId="3" applyNumberFormat="1" applyFont="1" applyFill="1" applyBorder="1" applyAlignment="1">
      <alignment horizontal="center"/>
    </xf>
    <xf numFmtId="1" fontId="66" fillId="0" borderId="180" xfId="3" applyNumberFormat="1" applyFont="1" applyBorder="1" applyAlignment="1">
      <alignment horizontal="center"/>
    </xf>
    <xf numFmtId="1" fontId="66" fillId="0" borderId="172" xfId="3" applyNumberFormat="1" applyFont="1" applyBorder="1" applyAlignment="1">
      <alignment horizontal="center"/>
    </xf>
    <xf numFmtId="0" fontId="139" fillId="0" borderId="173" xfId="3" applyFont="1" applyBorder="1"/>
    <xf numFmtId="37" fontId="139" fillId="0" borderId="182" xfId="3" applyNumberFormat="1" applyFont="1" applyBorder="1" applyAlignment="1">
      <alignment horizontal="center"/>
    </xf>
    <xf numFmtId="1" fontId="139" fillId="0" borderId="183" xfId="3" applyNumberFormat="1" applyFont="1" applyBorder="1" applyAlignment="1">
      <alignment horizontal="center"/>
    </xf>
    <xf numFmtId="1" fontId="139" fillId="0" borderId="198" xfId="3" applyNumberFormat="1" applyFont="1" applyBorder="1" applyAlignment="1">
      <alignment horizontal="center"/>
    </xf>
    <xf numFmtId="0" fontId="61" fillId="22" borderId="174" xfId="3" applyFont="1" applyFill="1" applyBorder="1" applyAlignment="1">
      <alignment horizontal="left" indent="1"/>
    </xf>
    <xf numFmtId="166" fontId="66" fillId="22" borderId="184" xfId="3" applyNumberFormat="1" applyFont="1" applyFill="1" applyBorder="1" applyAlignment="1">
      <alignment horizontal="center"/>
    </xf>
    <xf numFmtId="1" fontId="107" fillId="10" borderId="44" xfId="0" applyNumberFormat="1" applyFont="1" applyFill="1" applyBorder="1" applyAlignment="1">
      <alignment horizontal="left" vertical="top"/>
    </xf>
    <xf numFmtId="0" fontId="106" fillId="10" borderId="48" xfId="0" applyFont="1" applyFill="1" applyBorder="1" applyAlignment="1">
      <alignment horizontal="left" vertical="top"/>
    </xf>
    <xf numFmtId="49" fontId="106" fillId="10" borderId="44" xfId="0" applyNumberFormat="1" applyFont="1" applyFill="1" applyBorder="1" applyAlignment="1">
      <alignment horizontal="left" vertical="top"/>
    </xf>
    <xf numFmtId="3" fontId="144" fillId="0" borderId="0" xfId="0" applyNumberFormat="1" applyFont="1"/>
    <xf numFmtId="3" fontId="83" fillId="0" borderId="0" xfId="0" applyNumberFormat="1" applyFont="1"/>
    <xf numFmtId="0" fontId="110" fillId="0" borderId="0" xfId="0" applyFont="1"/>
    <xf numFmtId="3" fontId="93" fillId="0" borderId="0" xfId="0" applyNumberFormat="1" applyFont="1"/>
    <xf numFmtId="10" fontId="85" fillId="0" borderId="0" xfId="0" applyNumberFormat="1" applyFont="1"/>
    <xf numFmtId="9" fontId="66" fillId="0" borderId="180" xfId="4" applyFont="1" applyFill="1" applyBorder="1" applyAlignment="1">
      <alignment horizontal="center"/>
    </xf>
    <xf numFmtId="9" fontId="66" fillId="23" borderId="180" xfId="4" applyFont="1" applyFill="1" applyBorder="1" applyAlignment="1">
      <alignment horizontal="center"/>
    </xf>
    <xf numFmtId="0" fontId="72" fillId="0" borderId="172" xfId="3" applyBorder="1"/>
    <xf numFmtId="9" fontId="66" fillId="0" borderId="189" xfId="4" applyFont="1" applyFill="1" applyBorder="1" applyAlignment="1">
      <alignment horizontal="center"/>
    </xf>
    <xf numFmtId="9" fontId="66" fillId="0" borderId="185" xfId="4" applyFont="1" applyFill="1" applyBorder="1" applyAlignment="1">
      <alignment horizontal="center"/>
    </xf>
    <xf numFmtId="170" fontId="94" fillId="3" borderId="95" xfId="0" applyNumberFormat="1" applyFont="1" applyFill="1" applyBorder="1"/>
    <xf numFmtId="0" fontId="85" fillId="0" borderId="54" xfId="0" applyFont="1" applyBorder="1"/>
    <xf numFmtId="0" fontId="85" fillId="0" borderId="55" xfId="0" applyFont="1" applyBorder="1"/>
    <xf numFmtId="37" fontId="85" fillId="0" borderId="65" xfId="0" applyNumberFormat="1" applyFont="1" applyBorder="1"/>
    <xf numFmtId="1" fontId="75" fillId="0" borderId="48" xfId="0" applyNumberFormat="1" applyFont="1" applyBorder="1" applyAlignment="1">
      <alignment horizontal="left" vertical="top"/>
    </xf>
    <xf numFmtId="49" fontId="75" fillId="0" borderId="48" xfId="0" applyNumberFormat="1" applyFont="1" applyBorder="1" applyAlignment="1">
      <alignment horizontal="left" vertical="top"/>
    </xf>
    <xf numFmtId="49" fontId="75" fillId="0" borderId="49" xfId="0" applyNumberFormat="1" applyFont="1" applyBorder="1" applyAlignment="1">
      <alignment horizontal="left" vertical="top"/>
    </xf>
    <xf numFmtId="0" fontId="93" fillId="23" borderId="0" xfId="0" applyFont="1" applyFill="1"/>
    <xf numFmtId="49" fontId="141" fillId="0" borderId="1" xfId="20" applyNumberFormat="1" applyFont="1" applyAlignment="1">
      <alignment horizontal="center" vertical="center"/>
    </xf>
    <xf numFmtId="2" fontId="141" fillId="0" borderId="1" xfId="20" applyNumberFormat="1" applyFont="1" applyAlignment="1">
      <alignment horizontal="center" vertical="center"/>
    </xf>
    <xf numFmtId="175" fontId="141" fillId="0" borderId="1" xfId="20" applyNumberFormat="1" applyFont="1" applyAlignment="1">
      <alignment horizontal="center" vertical="center"/>
    </xf>
    <xf numFmtId="0" fontId="0" fillId="0" borderId="1" xfId="20" applyFont="1"/>
    <xf numFmtId="0" fontId="147" fillId="0" borderId="1" xfId="20" applyFont="1" applyAlignment="1">
      <alignment horizontal="center"/>
    </xf>
    <xf numFmtId="49" fontId="146" fillId="0" borderId="1" xfId="20" applyNumberFormat="1" applyAlignment="1">
      <alignment horizontal="center" vertical="center"/>
    </xf>
    <xf numFmtId="175" fontId="146" fillId="0" borderId="1" xfId="20" applyNumberFormat="1" applyAlignment="1">
      <alignment horizontal="center" vertical="center"/>
    </xf>
    <xf numFmtId="3" fontId="146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5" fillId="0" borderId="0" xfId="0" quotePrefix="1" applyFont="1"/>
    <xf numFmtId="9" fontId="139" fillId="23" borderId="183" xfId="4" applyFont="1" applyFill="1" applyBorder="1" applyAlignment="1">
      <alignment horizontal="center"/>
    </xf>
    <xf numFmtId="9" fontId="139" fillId="23" borderId="180" xfId="4" applyFont="1" applyFill="1" applyBorder="1" applyAlignment="1">
      <alignment horizontal="center"/>
    </xf>
    <xf numFmtId="0" fontId="110" fillId="12" borderId="0" xfId="0" quotePrefix="1" applyFont="1" applyFill="1"/>
    <xf numFmtId="0" fontId="112" fillId="25" borderId="106" xfId="0" applyFont="1" applyFill="1" applyBorder="1"/>
    <xf numFmtId="0" fontId="112" fillId="25" borderId="107" xfId="0" applyFont="1" applyFill="1" applyBorder="1"/>
    <xf numFmtId="0" fontId="112" fillId="25" borderId="108" xfId="0" applyFont="1" applyFill="1" applyBorder="1"/>
    <xf numFmtId="3" fontId="111" fillId="25" borderId="110" xfId="0" applyNumberFormat="1" applyFont="1" applyFill="1" applyBorder="1" applyAlignment="1">
      <alignment horizontal="center"/>
    </xf>
    <xf numFmtId="3" fontId="111" fillId="25" borderId="0" xfId="0" applyNumberFormat="1" applyFont="1" applyFill="1" applyAlignment="1">
      <alignment horizontal="center"/>
    </xf>
    <xf numFmtId="3" fontId="111" fillId="25" borderId="111" xfId="0" applyNumberFormat="1" applyFont="1" applyFill="1" applyBorder="1" applyAlignment="1">
      <alignment horizontal="center"/>
    </xf>
    <xf numFmtId="3" fontId="111" fillId="25" borderId="112" xfId="0" applyNumberFormat="1" applyFont="1" applyFill="1" applyBorder="1" applyAlignment="1">
      <alignment horizontal="center"/>
    </xf>
    <xf numFmtId="3" fontId="111" fillId="25" borderId="105" xfId="0" applyNumberFormat="1" applyFont="1" applyFill="1" applyBorder="1" applyAlignment="1">
      <alignment horizontal="center"/>
    </xf>
    <xf numFmtId="3" fontId="111" fillId="25" borderId="113" xfId="0" applyNumberFormat="1" applyFont="1" applyFill="1" applyBorder="1" applyAlignment="1" applyProtection="1">
      <alignment horizontal="right"/>
      <protection locked="0"/>
    </xf>
    <xf numFmtId="3" fontId="111" fillId="25" borderId="110" xfId="0" applyNumberFormat="1" applyFont="1" applyFill="1" applyBorder="1" applyProtection="1">
      <protection locked="0"/>
    </xf>
    <xf numFmtId="3" fontId="111" fillId="25" borderId="0" xfId="0" applyNumberFormat="1" applyFont="1" applyFill="1"/>
    <xf numFmtId="3" fontId="111" fillId="25" borderId="111" xfId="0" applyNumberFormat="1" applyFont="1" applyFill="1" applyBorder="1" applyProtection="1">
      <protection locked="0"/>
    </xf>
    <xf numFmtId="3" fontId="111" fillId="25" borderId="110" xfId="0" applyNumberFormat="1" applyFont="1" applyFill="1" applyBorder="1"/>
    <xf numFmtId="3" fontId="111" fillId="25" borderId="111" xfId="0" applyNumberFormat="1" applyFont="1" applyFill="1" applyBorder="1"/>
    <xf numFmtId="3" fontId="112" fillId="25" borderId="109" xfId="0" applyNumberFormat="1" applyFont="1" applyFill="1" applyBorder="1"/>
    <xf numFmtId="3" fontId="112" fillId="25" borderId="114" xfId="0" applyNumberFormat="1" applyFont="1" applyFill="1" applyBorder="1"/>
    <xf numFmtId="3" fontId="112" fillId="25" borderId="115" xfId="0" applyNumberFormat="1" applyFont="1" applyFill="1" applyBorder="1"/>
    <xf numFmtId="0" fontId="111" fillId="25" borderId="110" xfId="0" applyFont="1" applyFill="1" applyBorder="1"/>
    <xf numFmtId="0" fontId="111" fillId="25" borderId="111" xfId="0" applyFont="1" applyFill="1" applyBorder="1"/>
    <xf numFmtId="3" fontId="111" fillId="25" borderId="116" xfId="0" applyNumberFormat="1" applyFont="1" applyFill="1" applyBorder="1" applyProtection="1">
      <protection locked="0"/>
    </xf>
    <xf numFmtId="3" fontId="111" fillId="25" borderId="55" xfId="0" applyNumberFormat="1" applyFont="1" applyFill="1" applyBorder="1"/>
    <xf numFmtId="3" fontId="111" fillId="25" borderId="117" xfId="0" applyNumberFormat="1" applyFont="1" applyFill="1" applyBorder="1" applyProtection="1">
      <protection locked="0"/>
    </xf>
    <xf numFmtId="3" fontId="111" fillId="25" borderId="109" xfId="0" applyNumberFormat="1" applyFont="1" applyFill="1" applyBorder="1"/>
    <xf numFmtId="3" fontId="111" fillId="25" borderId="114" xfId="0" applyNumberFormat="1" applyFont="1" applyFill="1" applyBorder="1"/>
    <xf numFmtId="3" fontId="111" fillId="25" borderId="115" xfId="0" applyNumberFormat="1" applyFont="1" applyFill="1" applyBorder="1"/>
    <xf numFmtId="0" fontId="111" fillId="25" borderId="0" xfId="0" applyFont="1" applyFill="1"/>
    <xf numFmtId="37" fontId="111" fillId="25" borderId="111" xfId="0" applyNumberFormat="1" applyFont="1" applyFill="1" applyBorder="1"/>
    <xf numFmtId="37" fontId="112" fillId="26" borderId="118" xfId="0" applyNumberFormat="1" applyFont="1" applyFill="1" applyBorder="1"/>
    <xf numFmtId="171" fontId="112" fillId="26" borderId="119" xfId="0" applyNumberFormat="1" applyFont="1" applyFill="1" applyBorder="1"/>
    <xf numFmtId="37" fontId="112" fillId="26" borderId="120" xfId="0" applyNumberFormat="1" applyFont="1" applyFill="1" applyBorder="1"/>
    <xf numFmtId="0" fontId="112" fillId="26" borderId="121" xfId="0" applyFont="1" applyFill="1" applyBorder="1"/>
    <xf numFmtId="0" fontId="112" fillId="26" borderId="122" xfId="0" applyFont="1" applyFill="1" applyBorder="1"/>
    <xf numFmtId="0" fontId="112" fillId="26" borderId="123" xfId="0" applyFont="1" applyFill="1" applyBorder="1"/>
    <xf numFmtId="0" fontId="112" fillId="27" borderId="110" xfId="0" applyFont="1" applyFill="1" applyBorder="1"/>
    <xf numFmtId="0" fontId="112" fillId="27" borderId="0" xfId="0" applyFont="1" applyFill="1"/>
    <xf numFmtId="0" fontId="112" fillId="27" borderId="111" xfId="0" applyFont="1" applyFill="1" applyBorder="1"/>
    <xf numFmtId="0" fontId="111" fillId="25" borderId="0" xfId="0" applyFont="1" applyFill="1" applyAlignment="1">
      <alignment horizontal="center"/>
    </xf>
    <xf numFmtId="9" fontId="111" fillId="25" borderId="110" xfId="1" applyFont="1" applyFill="1" applyBorder="1"/>
    <xf numFmtId="37" fontId="111" fillId="25" borderId="0" xfId="0" applyNumberFormat="1" applyFont="1" applyFill="1"/>
    <xf numFmtId="37" fontId="111" fillId="25" borderId="111" xfId="0" applyNumberFormat="1" applyFont="1" applyFill="1" applyBorder="1" applyProtection="1">
      <protection locked="0"/>
    </xf>
    <xf numFmtId="9" fontId="111" fillId="25" borderId="112" xfId="1" applyFont="1" applyFill="1" applyBorder="1"/>
    <xf numFmtId="37" fontId="111" fillId="25" borderId="105" xfId="0" applyNumberFormat="1" applyFont="1" applyFill="1" applyBorder="1"/>
    <xf numFmtId="37" fontId="111" fillId="25" borderId="113" xfId="0" applyNumberFormat="1" applyFont="1" applyFill="1" applyBorder="1" applyProtection="1">
      <protection locked="0"/>
    </xf>
    <xf numFmtId="0" fontId="111" fillId="25" borderId="112" xfId="0" applyFont="1" applyFill="1" applyBorder="1"/>
    <xf numFmtId="0" fontId="112" fillId="26" borderId="124" xfId="0" applyFont="1" applyFill="1" applyBorder="1" applyAlignment="1">
      <alignment horizontal="center"/>
    </xf>
    <xf numFmtId="170" fontId="112" fillId="26" borderId="125" xfId="0" applyNumberFormat="1" applyFont="1" applyFill="1" applyBorder="1"/>
    <xf numFmtId="37" fontId="112" fillId="26" borderId="126" xfId="0" applyNumberFormat="1" applyFont="1" applyFill="1" applyBorder="1"/>
    <xf numFmtId="0" fontId="111" fillId="25" borderId="109" xfId="0" applyFont="1" applyFill="1" applyBorder="1"/>
    <xf numFmtId="0" fontId="111" fillId="25" borderId="114" xfId="0" applyFont="1" applyFill="1" applyBorder="1"/>
    <xf numFmtId="37" fontId="111" fillId="25" borderId="115" xfId="0" applyNumberFormat="1" applyFont="1" applyFill="1" applyBorder="1" applyProtection="1">
      <protection locked="0"/>
    </xf>
    <xf numFmtId="0" fontId="111" fillId="25" borderId="105" xfId="0" applyFont="1" applyFill="1" applyBorder="1"/>
    <xf numFmtId="37" fontId="111" fillId="25" borderId="113" xfId="0" applyNumberFormat="1" applyFont="1" applyFill="1" applyBorder="1"/>
    <xf numFmtId="0" fontId="111" fillId="25" borderId="116" xfId="0" applyFont="1" applyFill="1" applyBorder="1"/>
    <xf numFmtId="0" fontId="111" fillId="25" borderId="55" xfId="0" applyFont="1" applyFill="1" applyBorder="1"/>
    <xf numFmtId="37" fontId="111" fillId="25" borderId="117" xfId="0" applyNumberFormat="1" applyFont="1" applyFill="1" applyBorder="1" applyProtection="1">
      <protection locked="0"/>
    </xf>
    <xf numFmtId="37" fontId="112" fillId="26" borderId="128" xfId="0" applyNumberFormat="1" applyFont="1" applyFill="1" applyBorder="1"/>
    <xf numFmtId="0" fontId="112" fillId="26" borderId="130" xfId="0" applyFont="1" applyFill="1" applyBorder="1" applyAlignment="1">
      <alignment horizontal="center"/>
    </xf>
    <xf numFmtId="170" fontId="112" fillId="26" borderId="131" xfId="0" applyNumberFormat="1" applyFont="1" applyFill="1" applyBorder="1"/>
    <xf numFmtId="37" fontId="112" fillId="26" borderId="132" xfId="0" applyNumberFormat="1" applyFont="1" applyFill="1" applyBorder="1"/>
    <xf numFmtId="0" fontId="111" fillId="27" borderId="112" xfId="0" applyFont="1" applyFill="1" applyBorder="1"/>
    <xf numFmtId="0" fontId="111" fillId="27" borderId="105" xfId="0" applyFont="1" applyFill="1" applyBorder="1"/>
    <xf numFmtId="37" fontId="112" fillId="27" borderId="111" xfId="0" applyNumberFormat="1" applyFont="1" applyFill="1" applyBorder="1"/>
    <xf numFmtId="0" fontId="111" fillId="26" borderId="133" xfId="0" applyFont="1" applyFill="1" applyBorder="1"/>
    <xf numFmtId="0" fontId="111" fillId="26" borderId="134" xfId="0" applyFont="1" applyFill="1" applyBorder="1"/>
    <xf numFmtId="37" fontId="112" fillId="26" borderId="135" xfId="0" applyNumberFormat="1" applyFont="1" applyFill="1" applyBorder="1"/>
    <xf numFmtId="0" fontId="125" fillId="25" borderId="0" xfId="0" applyFont="1" applyFill="1"/>
    <xf numFmtId="37" fontId="125" fillId="25" borderId="0" xfId="0" applyNumberFormat="1" applyFont="1" applyFill="1"/>
    <xf numFmtId="0" fontId="123" fillId="25" borderId="0" xfId="0" applyFont="1" applyFill="1"/>
    <xf numFmtId="0" fontId="121" fillId="25" borderId="0" xfId="0" applyFont="1" applyFill="1"/>
    <xf numFmtId="0" fontId="111" fillId="25" borderId="110" xfId="0" applyFont="1" applyFill="1" applyBorder="1" applyAlignment="1">
      <alignment horizontal="center"/>
    </xf>
    <xf numFmtId="0" fontId="111" fillId="25" borderId="111" xfId="0" applyFont="1" applyFill="1" applyBorder="1" applyAlignment="1">
      <alignment horizontal="center"/>
    </xf>
    <xf numFmtId="3" fontId="111" fillId="25" borderId="113" xfId="0" applyNumberFormat="1" applyFont="1" applyFill="1" applyBorder="1" applyAlignment="1" applyProtection="1">
      <alignment horizontal="center"/>
      <protection locked="0"/>
    </xf>
    <xf numFmtId="3" fontId="111" fillId="25" borderId="112" xfId="0" applyNumberFormat="1" applyFont="1" applyFill="1" applyBorder="1"/>
    <xf numFmtId="3" fontId="111" fillId="25" borderId="105" xfId="0" applyNumberFormat="1" applyFont="1" applyFill="1" applyBorder="1"/>
    <xf numFmtId="3" fontId="111" fillId="25" borderId="113" xfId="0" applyNumberFormat="1" applyFont="1" applyFill="1" applyBorder="1"/>
    <xf numFmtId="0" fontId="112" fillId="25" borderId="110" xfId="0" applyFont="1" applyFill="1" applyBorder="1"/>
    <xf numFmtId="0" fontId="112" fillId="25" borderId="0" xfId="0" applyFont="1" applyFill="1"/>
    <xf numFmtId="0" fontId="112" fillId="25" borderId="111" xfId="0" applyFont="1" applyFill="1" applyBorder="1"/>
    <xf numFmtId="9" fontId="111" fillId="25" borderId="110" xfId="0" applyNumberFormat="1" applyFont="1" applyFill="1" applyBorder="1"/>
    <xf numFmtId="0" fontId="111" fillId="25" borderId="110" xfId="0" applyFont="1" applyFill="1" applyBorder="1" applyAlignment="1">
      <alignment horizontal="right"/>
    </xf>
    <xf numFmtId="170" fontId="111" fillId="25" borderId="0" xfId="0" applyNumberFormat="1" applyFont="1" applyFill="1"/>
    <xf numFmtId="0" fontId="112" fillId="26" borderId="127" xfId="0" applyFont="1" applyFill="1" applyBorder="1" applyAlignment="1">
      <alignment horizontal="center"/>
    </xf>
    <xf numFmtId="170" fontId="112" fillId="26" borderId="136" xfId="0" applyNumberFormat="1" applyFont="1" applyFill="1" applyBorder="1"/>
    <xf numFmtId="0" fontId="112" fillId="26" borderId="133" xfId="0" applyFont="1" applyFill="1" applyBorder="1"/>
    <xf numFmtId="0" fontId="112" fillId="26" borderId="134" xfId="0" applyFont="1" applyFill="1" applyBorder="1"/>
    <xf numFmtId="37" fontId="123" fillId="25" borderId="0" xfId="0" applyNumberFormat="1" applyFont="1" applyFill="1"/>
    <xf numFmtId="37" fontId="111" fillId="25" borderId="110" xfId="0" applyNumberFormat="1" applyFont="1" applyFill="1" applyBorder="1" applyProtection="1">
      <protection locked="0"/>
    </xf>
    <xf numFmtId="37" fontId="111" fillId="25" borderId="0" xfId="0" applyNumberFormat="1" applyFont="1" applyFill="1" applyProtection="1">
      <protection locked="0"/>
    </xf>
    <xf numFmtId="37" fontId="111" fillId="25" borderId="110" xfId="0" applyNumberFormat="1" applyFont="1" applyFill="1" applyBorder="1"/>
    <xf numFmtId="170" fontId="111" fillId="25" borderId="111" xfId="0" applyNumberFormat="1" applyFont="1" applyFill="1" applyBorder="1"/>
    <xf numFmtId="37" fontId="111" fillId="25" borderId="112" xfId="0" applyNumberFormat="1" applyFont="1" applyFill="1" applyBorder="1"/>
    <xf numFmtId="2" fontId="111" fillId="25" borderId="105" xfId="0" applyNumberFormat="1" applyFont="1" applyFill="1" applyBorder="1"/>
    <xf numFmtId="170" fontId="111" fillId="25" borderId="113" xfId="0" applyNumberFormat="1" applyFont="1" applyFill="1" applyBorder="1"/>
    <xf numFmtId="37" fontId="111" fillId="25" borderId="109" xfId="0" applyNumberFormat="1" applyFont="1" applyFill="1" applyBorder="1" applyProtection="1">
      <protection locked="0"/>
    </xf>
    <xf numFmtId="37" fontId="111" fillId="25" borderId="114" xfId="0" applyNumberFormat="1" applyFont="1" applyFill="1" applyBorder="1" applyProtection="1">
      <protection locked="0"/>
    </xf>
    <xf numFmtId="171" fontId="111" fillId="25" borderId="0" xfId="0" applyNumberFormat="1" applyFont="1" applyFill="1"/>
    <xf numFmtId="172" fontId="111" fillId="25" borderId="0" xfId="0" applyNumberFormat="1" applyFont="1" applyFill="1"/>
    <xf numFmtId="37" fontId="112" fillId="25" borderId="110" xfId="0" applyNumberFormat="1" applyFont="1" applyFill="1" applyBorder="1"/>
    <xf numFmtId="171" fontId="112" fillId="25" borderId="0" xfId="0" applyNumberFormat="1" applyFont="1" applyFill="1"/>
    <xf numFmtId="37" fontId="112" fillId="25" borderId="112" xfId="0" applyNumberFormat="1" applyFont="1" applyFill="1" applyBorder="1"/>
    <xf numFmtId="172" fontId="111" fillId="25" borderId="105" xfId="0" applyNumberFormat="1" applyFont="1" applyFill="1" applyBorder="1"/>
    <xf numFmtId="37" fontId="112" fillId="27" borderId="118" xfId="0" applyNumberFormat="1" applyFont="1" applyFill="1" applyBorder="1"/>
    <xf numFmtId="37" fontId="112" fillId="27" borderId="119" xfId="0" applyNumberFormat="1" applyFont="1" applyFill="1" applyBorder="1"/>
    <xf numFmtId="37" fontId="112" fillId="27" borderId="120" xfId="0" applyNumberFormat="1" applyFont="1" applyFill="1" applyBorder="1"/>
    <xf numFmtId="37" fontId="112" fillId="27" borderId="112" xfId="0" applyNumberFormat="1" applyFont="1" applyFill="1" applyBorder="1"/>
    <xf numFmtId="39" fontId="112" fillId="27" borderId="105" xfId="0" applyNumberFormat="1" applyFont="1" applyFill="1" applyBorder="1"/>
    <xf numFmtId="170" fontId="112" fillId="25" borderId="111" xfId="0" applyNumberFormat="1" applyFont="1" applyFill="1" applyBorder="1"/>
    <xf numFmtId="37" fontId="111" fillId="25" borderId="137" xfId="0" applyNumberFormat="1" applyFont="1" applyFill="1" applyBorder="1"/>
    <xf numFmtId="171" fontId="111" fillId="25" borderId="0" xfId="0" applyNumberFormat="1" applyFont="1" applyFill="1" applyProtection="1">
      <protection locked="0"/>
    </xf>
    <xf numFmtId="171" fontId="111" fillId="25" borderId="114" xfId="0" applyNumberFormat="1" applyFont="1" applyFill="1" applyBorder="1" applyProtection="1">
      <protection locked="0"/>
    </xf>
    <xf numFmtId="171" fontId="111" fillId="25" borderId="105" xfId="0" applyNumberFormat="1" applyFont="1" applyFill="1" applyBorder="1"/>
    <xf numFmtId="37" fontId="112" fillId="27" borderId="109" xfId="0" applyNumberFormat="1" applyFont="1" applyFill="1" applyBorder="1"/>
    <xf numFmtId="171" fontId="112" fillId="27" borderId="114" xfId="0" applyNumberFormat="1" applyFont="1" applyFill="1" applyBorder="1"/>
    <xf numFmtId="37" fontId="112" fillId="27" borderId="115" xfId="0" applyNumberFormat="1" applyFont="1" applyFill="1" applyBorder="1"/>
    <xf numFmtId="37" fontId="112" fillId="26" borderId="119" xfId="0" applyNumberFormat="1" applyFont="1" applyFill="1" applyBorder="1"/>
    <xf numFmtId="170" fontId="112" fillId="26" borderId="123" xfId="0" applyNumberFormat="1" applyFont="1" applyFill="1" applyBorder="1"/>
    <xf numFmtId="170" fontId="112" fillId="27" borderId="111" xfId="0" applyNumberFormat="1" applyFont="1" applyFill="1" applyBorder="1"/>
    <xf numFmtId="0" fontId="111" fillId="25" borderId="1" xfId="0" applyFont="1" applyFill="1" applyBorder="1"/>
    <xf numFmtId="37" fontId="112" fillId="25" borderId="109" xfId="0" applyNumberFormat="1" applyFont="1" applyFill="1" applyBorder="1"/>
    <xf numFmtId="170" fontId="112" fillId="25" borderId="114" xfId="0" applyNumberFormat="1" applyFont="1" applyFill="1" applyBorder="1"/>
    <xf numFmtId="37" fontId="112" fillId="25" borderId="115" xfId="0" applyNumberFormat="1" applyFont="1" applyFill="1" applyBorder="1"/>
    <xf numFmtId="0" fontId="111" fillId="25" borderId="113" xfId="0" applyFont="1" applyFill="1" applyBorder="1"/>
    <xf numFmtId="170" fontId="111" fillId="25" borderId="0" xfId="1" applyNumberFormat="1" applyFont="1" applyFill="1"/>
    <xf numFmtId="37" fontId="111" fillId="25" borderId="116" xfId="0" applyNumberFormat="1" applyFont="1" applyFill="1" applyBorder="1" applyProtection="1">
      <protection locked="0"/>
    </xf>
    <xf numFmtId="170" fontId="111" fillId="25" borderId="55" xfId="0" applyNumberFormat="1" applyFont="1" applyFill="1" applyBorder="1"/>
    <xf numFmtId="170" fontId="112" fillId="26" borderId="119" xfId="0" applyNumberFormat="1" applyFont="1" applyFill="1" applyBorder="1"/>
    <xf numFmtId="37" fontId="112" fillId="26" borderId="140" xfId="0" applyNumberFormat="1" applyFont="1" applyFill="1" applyBorder="1"/>
    <xf numFmtId="171" fontId="112" fillId="26" borderId="141" xfId="0" applyNumberFormat="1" applyFont="1" applyFill="1" applyBorder="1"/>
    <xf numFmtId="37" fontId="112" fillId="26" borderId="142" xfId="0" applyNumberFormat="1" applyFont="1" applyFill="1" applyBorder="1"/>
    <xf numFmtId="37" fontId="112" fillId="27" borderId="110" xfId="0" applyNumberFormat="1" applyFont="1" applyFill="1" applyBorder="1"/>
    <xf numFmtId="171" fontId="112" fillId="27" borderId="0" xfId="0" applyNumberFormat="1" applyFont="1" applyFill="1"/>
    <xf numFmtId="37" fontId="112" fillId="25" borderId="0" xfId="0" applyNumberFormat="1" applyFont="1" applyFill="1"/>
    <xf numFmtId="0" fontId="111" fillId="26" borderId="143" xfId="0" applyFont="1" applyFill="1" applyBorder="1"/>
    <xf numFmtId="0" fontId="111" fillId="26" borderId="144" xfId="0" applyFont="1" applyFill="1" applyBorder="1"/>
    <xf numFmtId="37" fontId="112" fillId="26" borderId="145" xfId="0" applyNumberFormat="1" applyFont="1" applyFill="1" applyBorder="1"/>
    <xf numFmtId="37" fontId="121" fillId="25" borderId="0" xfId="0" applyNumberFormat="1" applyFont="1" applyFill="1"/>
    <xf numFmtId="0" fontId="123" fillId="25" borderId="122" xfId="0" applyFont="1" applyFill="1" applyBorder="1" applyAlignment="1">
      <alignment horizontal="center"/>
    </xf>
    <xf numFmtId="37" fontId="123" fillId="25" borderId="122" xfId="0" applyNumberFormat="1" applyFont="1" applyFill="1" applyBorder="1" applyAlignment="1">
      <alignment horizontal="center"/>
    </xf>
    <xf numFmtId="0" fontId="112" fillId="25" borderId="196" xfId="0" applyFont="1" applyFill="1" applyBorder="1"/>
    <xf numFmtId="0" fontId="112" fillId="25" borderId="197" xfId="0" applyFont="1" applyFill="1" applyBorder="1"/>
    <xf numFmtId="0" fontId="111" fillId="25" borderId="147" xfId="0" applyFont="1" applyFill="1" applyBorder="1" applyAlignment="1">
      <alignment horizontal="center"/>
    </xf>
    <xf numFmtId="0" fontId="111" fillId="25" borderId="105" xfId="0" applyFont="1" applyFill="1" applyBorder="1" applyAlignment="1">
      <alignment horizontal="center"/>
    </xf>
    <xf numFmtId="0" fontId="111" fillId="25" borderId="148" xfId="0" applyFont="1" applyFill="1" applyBorder="1" applyAlignment="1">
      <alignment horizontal="center"/>
    </xf>
    <xf numFmtId="37" fontId="115" fillId="25" borderId="147" xfId="0" applyNumberFormat="1" applyFont="1" applyFill="1" applyBorder="1"/>
    <xf numFmtId="37" fontId="115" fillId="25" borderId="105" xfId="0" applyNumberFormat="1" applyFont="1" applyFill="1" applyBorder="1"/>
    <xf numFmtId="37" fontId="115" fillId="25" borderId="148" xfId="0" applyNumberFormat="1" applyFont="1" applyFill="1" applyBorder="1"/>
    <xf numFmtId="37" fontId="128" fillId="26" borderId="147" xfId="0" applyNumberFormat="1" applyFont="1" applyFill="1" applyBorder="1"/>
    <xf numFmtId="37" fontId="128" fillId="26" borderId="105" xfId="0" applyNumberFormat="1" applyFont="1" applyFill="1" applyBorder="1"/>
    <xf numFmtId="37" fontId="128" fillId="26" borderId="148" xfId="0" applyNumberFormat="1" applyFont="1" applyFill="1" applyBorder="1"/>
    <xf numFmtId="37" fontId="115" fillId="25" borderId="72" xfId="0" applyNumberFormat="1" applyFont="1" applyFill="1" applyBorder="1"/>
    <xf numFmtId="0" fontId="115" fillId="25" borderId="0" xfId="0" applyFont="1" applyFill="1"/>
    <xf numFmtId="37" fontId="115" fillId="25" borderId="57" xfId="0" applyNumberFormat="1" applyFont="1" applyFill="1" applyBorder="1"/>
    <xf numFmtId="0" fontId="115" fillId="25" borderId="72" xfId="0" applyFont="1" applyFill="1" applyBorder="1"/>
    <xf numFmtId="171" fontId="115" fillId="25" borderId="0" xfId="0" applyNumberFormat="1" applyFont="1" applyFill="1"/>
    <xf numFmtId="0" fontId="115" fillId="25" borderId="147" xfId="0" applyFont="1" applyFill="1" applyBorder="1"/>
    <xf numFmtId="171" fontId="115" fillId="25" borderId="105" xfId="0" applyNumberFormat="1" applyFont="1" applyFill="1" applyBorder="1"/>
    <xf numFmtId="170" fontId="128" fillId="26" borderId="149" xfId="0" applyNumberFormat="1" applyFont="1" applyFill="1" applyBorder="1"/>
    <xf numFmtId="0" fontId="128" fillId="26" borderId="125" xfId="0" applyFont="1" applyFill="1" applyBorder="1"/>
    <xf numFmtId="37" fontId="128" fillId="26" borderId="150" xfId="0" applyNumberFormat="1" applyFont="1" applyFill="1" applyBorder="1"/>
    <xf numFmtId="37" fontId="115" fillId="25" borderId="57" xfId="0" applyNumberFormat="1" applyFont="1" applyFill="1" applyBorder="1" applyProtection="1">
      <protection locked="0"/>
    </xf>
    <xf numFmtId="9" fontId="115" fillId="25" borderId="105" xfId="1" applyFont="1" applyFill="1" applyBorder="1"/>
    <xf numFmtId="9" fontId="115" fillId="25" borderId="0" xfId="1" applyFont="1" applyFill="1"/>
    <xf numFmtId="171" fontId="128" fillId="26" borderId="125" xfId="0" applyNumberFormat="1" applyFont="1" applyFill="1" applyBorder="1"/>
    <xf numFmtId="0" fontId="115" fillId="25" borderId="151" xfId="0" applyFont="1" applyFill="1" applyBorder="1"/>
    <xf numFmtId="171" fontId="115" fillId="25" borderId="114" xfId="0" applyNumberFormat="1" applyFont="1" applyFill="1" applyBorder="1"/>
    <xf numFmtId="37" fontId="115" fillId="25" borderId="152" xfId="0" applyNumberFormat="1" applyFont="1" applyFill="1" applyBorder="1"/>
    <xf numFmtId="0" fontId="115" fillId="25" borderId="103" xfId="0" applyFont="1" applyFill="1" applyBorder="1"/>
    <xf numFmtId="171" fontId="115" fillId="25" borderId="55" xfId="0" applyNumberFormat="1" applyFont="1" applyFill="1" applyBorder="1"/>
    <xf numFmtId="37" fontId="115" fillId="25" borderId="65" xfId="0" applyNumberFormat="1" applyFont="1" applyFill="1" applyBorder="1"/>
    <xf numFmtId="171" fontId="115" fillId="25" borderId="1" xfId="0" applyNumberFormat="1" applyFont="1" applyFill="1" applyBorder="1"/>
    <xf numFmtId="37" fontId="115" fillId="25" borderId="148" xfId="0" applyNumberFormat="1" applyFont="1" applyFill="1" applyBorder="1" applyProtection="1">
      <protection locked="0"/>
    </xf>
    <xf numFmtId="0" fontId="148" fillId="25" borderId="72" xfId="0" applyFont="1" applyFill="1" applyBorder="1"/>
    <xf numFmtId="0" fontId="148" fillId="25" borderId="0" xfId="0" applyFont="1" applyFill="1"/>
    <xf numFmtId="37" fontId="148" fillId="25" borderId="57" xfId="0" applyNumberFormat="1" applyFont="1" applyFill="1" applyBorder="1"/>
    <xf numFmtId="170" fontId="128" fillId="25" borderId="151" xfId="0" applyNumberFormat="1" applyFont="1" applyFill="1" applyBorder="1"/>
    <xf numFmtId="0" fontId="128" fillId="25" borderId="114" xfId="0" applyFont="1" applyFill="1" applyBorder="1"/>
    <xf numFmtId="37" fontId="115" fillId="27" borderId="152" xfId="0" applyNumberFormat="1" applyFont="1" applyFill="1" applyBorder="1"/>
    <xf numFmtId="170" fontId="128" fillId="25" borderId="72" xfId="0" applyNumberFormat="1" applyFont="1" applyFill="1" applyBorder="1"/>
    <xf numFmtId="0" fontId="128" fillId="25" borderId="0" xfId="0" applyFont="1" applyFill="1"/>
    <xf numFmtId="170" fontId="128" fillId="25" borderId="147" xfId="0" applyNumberFormat="1" applyFont="1" applyFill="1" applyBorder="1"/>
    <xf numFmtId="0" fontId="115" fillId="26" borderId="125" xfId="0" applyFont="1" applyFill="1" applyBorder="1"/>
    <xf numFmtId="0" fontId="149" fillId="27" borderId="151" xfId="0" applyFont="1" applyFill="1" applyBorder="1"/>
    <xf numFmtId="0" fontId="148" fillId="27" borderId="114" xfId="0" applyFont="1" applyFill="1" applyBorder="1"/>
    <xf numFmtId="37" fontId="148" fillId="27" borderId="152" xfId="0" applyNumberFormat="1" applyFont="1" applyFill="1" applyBorder="1"/>
    <xf numFmtId="0" fontId="128" fillId="26" borderId="154" xfId="0" applyFont="1" applyFill="1" applyBorder="1" applyAlignment="1">
      <alignment horizontal="center"/>
    </xf>
    <xf numFmtId="170" fontId="128" fillId="26" borderId="144" xfId="0" applyNumberFormat="1" applyFont="1" applyFill="1" applyBorder="1"/>
    <xf numFmtId="37" fontId="128" fillId="26" borderId="155" xfId="0" applyNumberFormat="1" applyFont="1" applyFill="1" applyBorder="1"/>
    <xf numFmtId="39" fontId="115" fillId="25" borderId="0" xfId="0" applyNumberFormat="1" applyFont="1" applyFill="1"/>
    <xf numFmtId="0" fontId="128" fillId="26" borderId="158" xfId="0" applyFont="1" applyFill="1" applyBorder="1" applyAlignment="1">
      <alignment horizontal="center"/>
    </xf>
    <xf numFmtId="170" fontId="128" fillId="26" borderId="157" xfId="0" applyNumberFormat="1" applyFont="1" applyFill="1" applyBorder="1"/>
    <xf numFmtId="37" fontId="128" fillId="26" borderId="159" xfId="0" applyNumberFormat="1" applyFont="1" applyFill="1" applyBorder="1"/>
    <xf numFmtId="0" fontId="127" fillId="25" borderId="72" xfId="0" applyFont="1" applyFill="1" applyBorder="1"/>
    <xf numFmtId="0" fontId="127" fillId="25" borderId="0" xfId="0" applyFont="1" applyFill="1"/>
    <xf numFmtId="0" fontId="127" fillId="25" borderId="57" xfId="0" applyFont="1" applyFill="1" applyBorder="1"/>
    <xf numFmtId="0" fontId="123" fillId="25" borderId="72" xfId="0" applyFont="1" applyFill="1" applyBorder="1"/>
    <xf numFmtId="0" fontId="111" fillId="25" borderId="72" xfId="0" applyFont="1" applyFill="1" applyBorder="1"/>
    <xf numFmtId="0" fontId="112" fillId="25" borderId="72" xfId="0" applyFont="1" applyFill="1" applyBorder="1"/>
    <xf numFmtId="0" fontId="128" fillId="26" borderId="164" xfId="0" applyFont="1" applyFill="1" applyBorder="1" applyAlignment="1">
      <alignment horizontal="center"/>
    </xf>
    <xf numFmtId="170" fontId="128" fillId="26" borderId="163" xfId="0" applyNumberFormat="1" applyFont="1" applyFill="1" applyBorder="1"/>
    <xf numFmtId="37" fontId="128" fillId="26" borderId="165" xfId="0" applyNumberFormat="1" applyFont="1" applyFill="1" applyBorder="1"/>
    <xf numFmtId="0" fontId="150" fillId="0" borderId="1" xfId="22" applyFont="1"/>
    <xf numFmtId="0" fontId="57" fillId="0" borderId="1" xfId="22"/>
    <xf numFmtId="0" fontId="151" fillId="0" borderId="1" xfId="22" applyFont="1"/>
    <xf numFmtId="0" fontId="152" fillId="0" borderId="1" xfId="22" applyFont="1" applyAlignment="1">
      <alignment horizontal="center"/>
    </xf>
    <xf numFmtId="0" fontId="57" fillId="0" borderId="1" xfId="22" applyAlignment="1">
      <alignment horizontal="center"/>
    </xf>
    <xf numFmtId="0" fontId="139" fillId="0" borderId="1" xfId="22" applyFont="1" applyAlignment="1">
      <alignment horizontal="center"/>
    </xf>
    <xf numFmtId="0" fontId="139" fillId="18" borderId="200" xfId="22" applyFont="1" applyFill="1" applyBorder="1" applyAlignment="1">
      <alignment horizontal="center" vertical="center" wrapText="1"/>
    </xf>
    <xf numFmtId="0" fontId="139" fillId="18" borderId="201" xfId="22" applyFont="1" applyFill="1" applyBorder="1" applyAlignment="1">
      <alignment horizontal="center" vertical="center" wrapText="1"/>
    </xf>
    <xf numFmtId="0" fontId="139" fillId="18" borderId="202" xfId="22" applyFont="1" applyFill="1" applyBorder="1" applyAlignment="1">
      <alignment horizontal="center" vertical="center" wrapText="1"/>
    </xf>
    <xf numFmtId="0" fontId="139" fillId="18" borderId="199" xfId="22" applyFont="1" applyFill="1" applyBorder="1" applyAlignment="1">
      <alignment horizontal="center" vertical="center" wrapText="1"/>
    </xf>
    <xf numFmtId="0" fontId="139" fillId="0" borderId="1" xfId="22" applyFont="1"/>
    <xf numFmtId="166" fontId="140" fillId="11" borderId="204" xfId="22" applyNumberFormat="1" applyFont="1" applyFill="1" applyBorder="1" applyAlignment="1">
      <alignment horizontal="center" vertical="center"/>
    </xf>
    <xf numFmtId="166" fontId="140" fillId="11" borderId="206" xfId="22" applyNumberFormat="1" applyFont="1" applyFill="1" applyBorder="1" applyAlignment="1">
      <alignment horizontal="center" vertical="center"/>
    </xf>
    <xf numFmtId="0" fontId="140" fillId="11" borderId="205" xfId="22" applyFont="1" applyFill="1" applyBorder="1" applyAlignment="1">
      <alignment horizontal="center" vertical="center"/>
    </xf>
    <xf numFmtId="3" fontId="139" fillId="11" borderId="204" xfId="22" applyNumberFormat="1" applyFont="1" applyFill="1" applyBorder="1" applyAlignment="1">
      <alignment horizontal="center" vertical="center"/>
    </xf>
    <xf numFmtId="3" fontId="139" fillId="11" borderId="206" xfId="22" applyNumberFormat="1" applyFont="1" applyFill="1" applyBorder="1" applyAlignment="1">
      <alignment horizontal="center" vertical="center"/>
    </xf>
    <xf numFmtId="0" fontId="57" fillId="11" borderId="207" xfId="22" applyFill="1" applyBorder="1" applyAlignment="1">
      <alignment wrapText="1"/>
    </xf>
    <xf numFmtId="0" fontId="57" fillId="0" borderId="199" xfId="22" applyBorder="1" applyAlignment="1" applyProtection="1">
      <alignment horizontal="center" vertical="center" wrapText="1"/>
      <protection locked="0"/>
    </xf>
    <xf numFmtId="0" fontId="57" fillId="0" borderId="199" xfId="22" applyBorder="1" applyAlignment="1">
      <alignment horizontal="center" vertical="center"/>
    </xf>
    <xf numFmtId="0" fontId="57" fillId="0" borderId="167" xfId="22" applyBorder="1" applyAlignment="1" applyProtection="1">
      <alignment horizontal="center" vertical="center" wrapText="1"/>
      <protection locked="0"/>
    </xf>
    <xf numFmtId="37" fontId="57" fillId="0" borderId="1" xfId="22" applyNumberFormat="1" applyAlignment="1" applyProtection="1">
      <alignment horizontal="center" vertical="center"/>
      <protection locked="0"/>
    </xf>
    <xf numFmtId="37" fontId="57" fillId="0" borderId="208" xfId="22" applyNumberFormat="1" applyBorder="1" applyAlignment="1" applyProtection="1">
      <alignment horizontal="center" vertical="center"/>
      <protection locked="0"/>
    </xf>
    <xf numFmtId="0" fontId="57" fillId="0" borderId="209" xfId="22" applyBorder="1" applyAlignment="1" applyProtection="1">
      <alignment horizontal="center" vertical="center" wrapText="1"/>
      <protection locked="0"/>
    </xf>
    <xf numFmtId="0" fontId="57" fillId="0" borderId="209" xfId="22" applyBorder="1" applyAlignment="1">
      <alignment horizontal="center" vertical="center"/>
    </xf>
    <xf numFmtId="0" fontId="57" fillId="0" borderId="208" xfId="22" applyBorder="1" applyAlignment="1" applyProtection="1">
      <alignment horizontal="center" vertical="center" wrapText="1"/>
      <protection locked="0"/>
    </xf>
    <xf numFmtId="0" fontId="57" fillId="0" borderId="203" xfId="22" applyBorder="1" applyAlignment="1" applyProtection="1">
      <alignment horizontal="center" vertical="center" wrapText="1"/>
      <protection locked="0"/>
    </xf>
    <xf numFmtId="0" fontId="57" fillId="0" borderId="203" xfId="22" applyBorder="1" applyAlignment="1">
      <alignment horizontal="center" vertical="center"/>
    </xf>
    <xf numFmtId="0" fontId="57" fillId="0" borderId="210" xfId="22" applyBorder="1" applyAlignment="1" applyProtection="1">
      <alignment horizontal="center" vertical="center" wrapText="1"/>
      <protection locked="0"/>
    </xf>
    <xf numFmtId="0" fontId="57" fillId="0" borderId="211" xfId="22" applyBorder="1" applyAlignment="1" applyProtection="1">
      <alignment horizontal="center" vertical="center" wrapText="1"/>
      <protection locked="0"/>
    </xf>
    <xf numFmtId="37" fontId="57" fillId="0" borderId="210" xfId="22" applyNumberFormat="1" applyBorder="1" applyAlignment="1" applyProtection="1">
      <alignment horizontal="center" vertical="center"/>
      <protection locked="0"/>
    </xf>
    <xf numFmtId="37" fontId="57" fillId="0" borderId="212" xfId="22" applyNumberFormat="1" applyBorder="1" applyAlignment="1" applyProtection="1">
      <alignment horizontal="center" vertical="center"/>
      <protection locked="0"/>
    </xf>
    <xf numFmtId="0" fontId="57" fillId="0" borderId="1" xfId="22" applyAlignment="1">
      <alignment horizontal="center" wrapText="1"/>
    </xf>
    <xf numFmtId="0" fontId="57" fillId="0" borderId="1" xfId="22" applyAlignment="1">
      <alignment wrapText="1"/>
    </xf>
    <xf numFmtId="166" fontId="66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3" fillId="0" borderId="0" xfId="0" applyNumberFormat="1" applyFont="1" applyAlignment="1">
      <alignment horizontal="center"/>
    </xf>
    <xf numFmtId="176" fontId="93" fillId="0" borderId="0" xfId="0" applyNumberFormat="1" applyFont="1"/>
    <xf numFmtId="1" fontId="95" fillId="0" borderId="0" xfId="0" applyNumberFormat="1" applyFont="1"/>
    <xf numFmtId="10" fontId="95" fillId="0" borderId="0" xfId="0" applyNumberFormat="1" applyFont="1"/>
    <xf numFmtId="176" fontId="95" fillId="0" borderId="0" xfId="0" applyNumberFormat="1" applyFont="1"/>
    <xf numFmtId="0" fontId="55" fillId="0" borderId="209" xfId="22" applyFont="1" applyBorder="1" applyAlignment="1" applyProtection="1">
      <alignment horizontal="center" vertical="center" wrapText="1"/>
      <protection locked="0"/>
    </xf>
    <xf numFmtId="10" fontId="85" fillId="0" borderId="15" xfId="0" applyNumberFormat="1" applyFont="1" applyBorder="1"/>
    <xf numFmtId="2" fontId="146" fillId="0" borderId="1" xfId="20" applyNumberFormat="1" applyAlignment="1">
      <alignment horizontal="center" vertical="center"/>
    </xf>
    <xf numFmtId="0" fontId="106" fillId="24" borderId="0" xfId="0" applyFont="1" applyFill="1" applyAlignment="1">
      <alignment horizontal="left" vertical="top"/>
    </xf>
    <xf numFmtId="0" fontId="110" fillId="0" borderId="1" xfId="10"/>
    <xf numFmtId="0" fontId="110" fillId="0" borderId="1" xfId="10" applyAlignment="1">
      <alignment horizontal="center"/>
    </xf>
    <xf numFmtId="0" fontId="84" fillId="0" borderId="0" xfId="0" quotePrefix="1" applyFont="1"/>
    <xf numFmtId="10" fontId="94" fillId="0" borderId="0" xfId="0" applyNumberFormat="1" applyFont="1"/>
    <xf numFmtId="0" fontId="93" fillId="0" borderId="0" xfId="0" quotePrefix="1" applyFont="1"/>
    <xf numFmtId="0" fontId="85" fillId="3" borderId="216" xfId="0" applyFont="1" applyFill="1" applyBorder="1"/>
    <xf numFmtId="37" fontId="86" fillId="3" borderId="217" xfId="0" applyNumberFormat="1" applyFont="1" applyFill="1" applyBorder="1"/>
    <xf numFmtId="1" fontId="93" fillId="0" borderId="0" xfId="0" quotePrefix="1" applyNumberFormat="1" applyFont="1"/>
    <xf numFmtId="49" fontId="44" fillId="12" borderId="1" xfId="12" applyNumberFormat="1" applyFont="1" applyFill="1" applyAlignment="1">
      <alignment horizontal="left" vertical="center"/>
    </xf>
    <xf numFmtId="0" fontId="42" fillId="0" borderId="167" xfId="22" applyFont="1" applyBorder="1" applyAlignment="1" applyProtection="1">
      <alignment horizontal="center" vertical="center" wrapText="1"/>
      <protection locked="0"/>
    </xf>
    <xf numFmtId="9" fontId="139" fillId="23" borderId="218" xfId="4" applyFont="1" applyFill="1" applyBorder="1" applyAlignment="1">
      <alignment horizontal="center"/>
    </xf>
    <xf numFmtId="9" fontId="66" fillId="0" borderId="219" xfId="4" applyFont="1" applyFill="1" applyBorder="1" applyAlignment="1">
      <alignment horizontal="center"/>
    </xf>
    <xf numFmtId="9" fontId="66" fillId="23" borderId="219" xfId="4" applyFont="1" applyFill="1" applyBorder="1" applyAlignment="1">
      <alignment horizontal="center"/>
    </xf>
    <xf numFmtId="9" fontId="66" fillId="0" borderId="220" xfId="4" applyFont="1" applyFill="1" applyBorder="1" applyAlignment="1">
      <alignment horizontal="center"/>
    </xf>
    <xf numFmtId="9" fontId="66" fillId="0" borderId="219" xfId="4" applyFont="1" applyBorder="1" applyAlignment="1">
      <alignment horizontal="center"/>
    </xf>
    <xf numFmtId="9" fontId="66" fillId="0" borderId="221" xfId="4" applyFont="1" applyBorder="1" applyAlignment="1">
      <alignment horizontal="center"/>
    </xf>
    <xf numFmtId="0" fontId="139" fillId="17" borderId="173" xfId="3" applyFont="1" applyFill="1" applyBorder="1" applyAlignment="1">
      <alignment horizontal="center"/>
    </xf>
    <xf numFmtId="9" fontId="66" fillId="0" borderId="220" xfId="4" applyFont="1" applyBorder="1" applyAlignment="1">
      <alignment horizontal="center"/>
    </xf>
    <xf numFmtId="0" fontId="139" fillId="16" borderId="173" xfId="3" applyFont="1" applyFill="1" applyBorder="1" applyAlignment="1">
      <alignment horizontal="center"/>
    </xf>
    <xf numFmtId="9" fontId="139" fillId="23" borderId="219" xfId="4" applyFont="1" applyFill="1" applyBorder="1" applyAlignment="1">
      <alignment horizontal="center"/>
    </xf>
    <xf numFmtId="0" fontId="139" fillId="11" borderId="173" xfId="3" applyFont="1" applyFill="1" applyBorder="1" applyAlignment="1">
      <alignment horizontal="center"/>
    </xf>
    <xf numFmtId="9" fontId="66" fillId="0" borderId="221" xfId="4" applyFont="1" applyFill="1" applyBorder="1" applyAlignment="1">
      <alignment horizontal="center"/>
    </xf>
    <xf numFmtId="0" fontId="139" fillId="18" borderId="173" xfId="3" applyFont="1" applyFill="1" applyBorder="1" applyAlignment="1">
      <alignment horizontal="center"/>
    </xf>
    <xf numFmtId="0" fontId="139" fillId="21" borderId="173" xfId="3" applyFont="1" applyFill="1" applyBorder="1" applyAlignment="1">
      <alignment horizontal="center"/>
    </xf>
    <xf numFmtId="0" fontId="41" fillId="0" borderId="1" xfId="55"/>
    <xf numFmtId="2" fontId="155" fillId="0" borderId="1" xfId="55" applyNumberFormat="1" applyFont="1" applyAlignment="1">
      <alignment horizontal="center"/>
    </xf>
    <xf numFmtId="0" fontId="155" fillId="0" borderId="1" xfId="55" applyFont="1"/>
    <xf numFmtId="2" fontId="41" fillId="0" borderId="1" xfId="55" applyNumberFormat="1" applyAlignment="1">
      <alignment horizontal="center"/>
    </xf>
    <xf numFmtId="0" fontId="156" fillId="0" borderId="1" xfId="55" applyFont="1"/>
    <xf numFmtId="2" fontId="139" fillId="21" borderId="129" xfId="55" applyNumberFormat="1" applyFont="1" applyFill="1" applyBorder="1" applyAlignment="1">
      <alignment horizontal="center"/>
    </xf>
    <xf numFmtId="2" fontId="139" fillId="21" borderId="170" xfId="55" applyNumberFormat="1" applyFont="1" applyFill="1" applyBorder="1" applyAlignment="1">
      <alignment horizontal="center"/>
    </xf>
    <xf numFmtId="0" fontId="41" fillId="0" borderId="55" xfId="55" applyBorder="1"/>
    <xf numFmtId="0" fontId="41" fillId="0" borderId="172" xfId="55" applyBorder="1"/>
    <xf numFmtId="0" fontId="139" fillId="0" borderId="173" xfId="56" applyFont="1" applyBorder="1"/>
    <xf numFmtId="0" fontId="41" fillId="25" borderId="171" xfId="55" applyFill="1" applyBorder="1"/>
    <xf numFmtId="37" fontId="139" fillId="0" borderId="129" xfId="55" applyNumberFormat="1" applyFont="1" applyBorder="1" applyAlignment="1">
      <alignment horizontal="center"/>
    </xf>
    <xf numFmtId="37" fontId="139" fillId="0" borderId="170" xfId="55" applyNumberFormat="1" applyFont="1" applyBorder="1" applyAlignment="1">
      <alignment horizontal="center"/>
    </xf>
    <xf numFmtId="170" fontId="139" fillId="0" borderId="170" xfId="57" applyNumberFormat="1" applyFont="1" applyBorder="1" applyAlignment="1">
      <alignment horizontal="center"/>
    </xf>
    <xf numFmtId="0" fontId="154" fillId="0" borderId="1" xfId="55" applyFont="1"/>
    <xf numFmtId="0" fontId="41" fillId="0" borderId="173" xfId="55" applyBorder="1"/>
    <xf numFmtId="0" fontId="41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0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41" fillId="0" borderId="171" xfId="55" applyBorder="1" applyAlignment="1">
      <alignment horizontal="left"/>
    </xf>
    <xf numFmtId="37" fontId="41" fillId="0" borderId="214" xfId="55" applyNumberFormat="1" applyBorder="1" applyAlignment="1">
      <alignment horizontal="center"/>
    </xf>
    <xf numFmtId="37" fontId="41" fillId="0" borderId="172" xfId="55" applyNumberFormat="1" applyBorder="1" applyAlignment="1">
      <alignment horizontal="center"/>
    </xf>
    <xf numFmtId="170" fontId="0" fillId="0" borderId="172" xfId="57" applyNumberFormat="1" applyFont="1" applyBorder="1" applyAlignment="1">
      <alignment horizontal="center" vertical="center"/>
    </xf>
    <xf numFmtId="0" fontId="139" fillId="0" borderId="171" xfId="55" applyFont="1" applyBorder="1"/>
    <xf numFmtId="37" fontId="139" fillId="0" borderId="214" xfId="58" applyNumberFormat="1" applyFont="1" applyBorder="1" applyAlignment="1">
      <alignment horizontal="center"/>
    </xf>
    <xf numFmtId="37" fontId="139" fillId="0" borderId="172" xfId="58" applyNumberFormat="1" applyFont="1" applyBorder="1" applyAlignment="1">
      <alignment horizontal="center"/>
    </xf>
    <xf numFmtId="170" fontId="0" fillId="0" borderId="214" xfId="57" applyNumberFormat="1" applyFont="1" applyBorder="1" applyAlignment="1">
      <alignment horizontal="center"/>
    </xf>
    <xf numFmtId="170" fontId="0" fillId="0" borderId="172" xfId="57" applyNumberFormat="1" applyFont="1" applyBorder="1" applyAlignment="1">
      <alignment horizontal="center"/>
    </xf>
    <xf numFmtId="0" fontId="41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54" fillId="0" borderId="214" xfId="55" applyFont="1" applyBorder="1"/>
    <xf numFmtId="170" fontId="0" fillId="0" borderId="215" xfId="57" applyNumberFormat="1" applyFont="1" applyBorder="1" applyAlignment="1">
      <alignment horizontal="center"/>
    </xf>
    <xf numFmtId="170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41" fillId="0" borderId="174" xfId="55" applyBorder="1" applyAlignment="1">
      <alignment horizontal="left"/>
    </xf>
    <xf numFmtId="0" fontId="41" fillId="0" borderId="214" xfId="55" applyBorder="1"/>
    <xf numFmtId="170" fontId="0" fillId="0" borderId="175" xfId="57" applyNumberFormat="1" applyFont="1" applyBorder="1" applyAlignment="1">
      <alignment horizontal="center"/>
    </xf>
    <xf numFmtId="2" fontId="41" fillId="0" borderId="175" xfId="55" applyNumberFormat="1" applyBorder="1" applyAlignment="1">
      <alignment horizontal="center"/>
    </xf>
    <xf numFmtId="0" fontId="41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9" fillId="0" borderId="215" xfId="58" applyNumberFormat="1" applyFont="1" applyBorder="1" applyAlignment="1">
      <alignment horizontal="center"/>
    </xf>
    <xf numFmtId="37" fontId="157" fillId="0" borderId="223" xfId="58" applyNumberFormat="1" applyFont="1" applyBorder="1" applyAlignment="1">
      <alignment horizontal="center"/>
    </xf>
    <xf numFmtId="0" fontId="139" fillId="0" borderId="174" xfId="55" applyFont="1" applyBorder="1"/>
    <xf numFmtId="37" fontId="139" fillId="0" borderId="175" xfId="58" applyNumberFormat="1" applyFont="1" applyBorder="1" applyAlignment="1">
      <alignment horizontal="center"/>
    </xf>
    <xf numFmtId="0" fontId="153" fillId="0" borderId="1" xfId="55" applyFont="1"/>
    <xf numFmtId="0" fontId="41" fillId="25" borderId="169" xfId="55" applyFill="1" applyBorder="1"/>
    <xf numFmtId="0" fontId="139" fillId="0" borderId="1" xfId="55" applyFont="1"/>
    <xf numFmtId="0" fontId="41" fillId="0" borderId="1" xfId="55" applyAlignment="1">
      <alignment horizontal="center"/>
    </xf>
    <xf numFmtId="2" fontId="153" fillId="0" borderId="1" xfId="55" applyNumberFormat="1" applyFont="1" applyAlignment="1">
      <alignment horizontal="center"/>
    </xf>
    <xf numFmtId="2" fontId="41" fillId="0" borderId="1" xfId="55" applyNumberFormat="1"/>
    <xf numFmtId="1" fontId="75" fillId="12" borderId="174" xfId="55" applyNumberFormat="1" applyFont="1" applyFill="1" applyBorder="1" applyAlignment="1">
      <alignment horizontal="left" vertical="top"/>
    </xf>
    <xf numFmtId="177" fontId="41" fillId="24" borderId="1" xfId="55" applyNumberFormat="1" applyFill="1" applyAlignment="1">
      <alignment horizontal="center"/>
    </xf>
    <xf numFmtId="0" fontId="139" fillId="0" borderId="1" xfId="55" applyFont="1" applyAlignment="1">
      <alignment horizontal="center" vertical="center"/>
    </xf>
    <xf numFmtId="0" fontId="139" fillId="0" borderId="173" xfId="55" applyFont="1" applyBorder="1" applyAlignment="1">
      <alignment horizontal="center" vertical="center"/>
    </xf>
    <xf numFmtId="0" fontId="139" fillId="0" borderId="169" xfId="55" applyFont="1" applyBorder="1" applyAlignment="1">
      <alignment horizontal="center" vertical="center"/>
    </xf>
    <xf numFmtId="0" fontId="139" fillId="0" borderId="169" xfId="55" applyFont="1" applyBorder="1" applyAlignment="1">
      <alignment horizontal="center" wrapText="1"/>
    </xf>
    <xf numFmtId="0" fontId="41" fillId="0" borderId="1" xfId="55" applyAlignment="1">
      <alignment horizontal="center" vertical="center"/>
    </xf>
    <xf numFmtId="0" fontId="139" fillId="0" borderId="173" xfId="55" applyFont="1" applyBorder="1" applyAlignment="1">
      <alignment horizontal="center"/>
    </xf>
    <xf numFmtId="3" fontId="41" fillId="12" borderId="171" xfId="55" applyNumberFormat="1" applyFill="1" applyBorder="1" applyAlignment="1">
      <alignment horizontal="center"/>
    </xf>
    <xf numFmtId="2" fontId="139" fillId="0" borderId="171" xfId="55" applyNumberFormat="1" applyFont="1" applyBorder="1" applyAlignment="1">
      <alignment horizontal="center"/>
    </xf>
    <xf numFmtId="0" fontId="139" fillId="0" borderId="171" xfId="55" applyFont="1" applyBorder="1" applyAlignment="1">
      <alignment horizontal="center"/>
    </xf>
    <xf numFmtId="0" fontId="139" fillId="0" borderId="174" xfId="55" applyFont="1" applyBorder="1" applyAlignment="1">
      <alignment horizontal="center"/>
    </xf>
    <xf numFmtId="3" fontId="41" fillId="12" borderId="174" xfId="55" applyNumberFormat="1" applyFill="1" applyBorder="1" applyAlignment="1">
      <alignment horizontal="center"/>
    </xf>
    <xf numFmtId="10" fontId="93" fillId="0" borderId="0" xfId="0" quotePrefix="1" applyNumberFormat="1" applyFont="1"/>
    <xf numFmtId="37" fontId="62" fillId="22" borderId="214" xfId="3" applyNumberFormat="1" applyFont="1" applyFill="1" applyBorder="1" applyAlignment="1">
      <alignment horizontal="center"/>
    </xf>
    <xf numFmtId="0" fontId="36" fillId="0" borderId="1" xfId="62"/>
    <xf numFmtId="49" fontId="103" fillId="0" borderId="214" xfId="62" applyNumberFormat="1" applyFont="1" applyBorder="1" applyAlignment="1">
      <alignment horizontal="center" vertical="center"/>
    </xf>
    <xf numFmtId="49" fontId="103" fillId="0" borderId="1" xfId="62" applyNumberFormat="1" applyFont="1" applyAlignment="1">
      <alignment horizontal="center" vertical="center"/>
    </xf>
    <xf numFmtId="3" fontId="103" fillId="0" borderId="1" xfId="62" applyNumberFormat="1" applyFont="1" applyAlignment="1">
      <alignment horizontal="center" vertical="center"/>
    </xf>
    <xf numFmtId="49" fontId="103" fillId="0" borderId="172" xfId="62" applyNumberFormat="1" applyFont="1" applyBorder="1" applyAlignment="1">
      <alignment horizontal="center" vertical="center"/>
    </xf>
    <xf numFmtId="0" fontId="36" fillId="0" borderId="214" xfId="62" applyBorder="1" applyAlignment="1">
      <alignment horizontal="center"/>
    </xf>
    <xf numFmtId="0" fontId="36" fillId="0" borderId="1" xfId="62" applyAlignment="1">
      <alignment horizontal="center"/>
    </xf>
    <xf numFmtId="3" fontId="36" fillId="0" borderId="1" xfId="62" applyNumberFormat="1" applyAlignment="1">
      <alignment horizontal="center"/>
    </xf>
    <xf numFmtId="0" fontId="36" fillId="0" borderId="172" xfId="62" applyBorder="1" applyAlignment="1">
      <alignment horizontal="center"/>
    </xf>
    <xf numFmtId="0" fontId="33" fillId="0" borderId="1" xfId="62" applyFont="1" applyAlignment="1">
      <alignment horizontal="center"/>
    </xf>
    <xf numFmtId="0" fontId="32" fillId="0" borderId="1" xfId="62" applyFont="1" applyAlignment="1">
      <alignment horizontal="center"/>
    </xf>
    <xf numFmtId="0" fontId="32" fillId="0" borderId="172" xfId="62" applyFont="1" applyBorder="1" applyAlignment="1">
      <alignment horizontal="center"/>
    </xf>
    <xf numFmtId="0" fontId="139" fillId="19" borderId="173" xfId="3" applyFont="1" applyFill="1" applyBorder="1" applyAlignment="1">
      <alignment horizontal="center"/>
    </xf>
    <xf numFmtId="0" fontId="94" fillId="3" borderId="227" xfId="0" applyFont="1" applyFill="1" applyBorder="1"/>
    <xf numFmtId="0" fontId="94" fillId="3" borderId="228" xfId="0" applyFont="1" applyFill="1" applyBorder="1"/>
    <xf numFmtId="0" fontId="94" fillId="3" borderId="228" xfId="0" applyFont="1" applyFill="1" applyBorder="1" applyAlignment="1">
      <alignment horizontal="center"/>
    </xf>
    <xf numFmtId="170" fontId="94" fillId="3" borderId="228" xfId="0" applyNumberFormat="1" applyFont="1" applyFill="1" applyBorder="1"/>
    <xf numFmtId="37" fontId="94" fillId="3" borderId="229" xfId="0" applyNumberFormat="1" applyFont="1" applyFill="1" applyBorder="1"/>
    <xf numFmtId="37" fontId="94" fillId="3" borderId="228" xfId="0" applyNumberFormat="1" applyFont="1" applyFill="1" applyBorder="1"/>
    <xf numFmtId="37" fontId="94" fillId="3" borderId="230" xfId="0" applyNumberFormat="1" applyFont="1" applyFill="1" applyBorder="1"/>
    <xf numFmtId="37" fontId="94" fillId="3" borderId="232" xfId="0" applyNumberFormat="1" applyFont="1" applyFill="1" applyBorder="1"/>
    <xf numFmtId="170" fontId="94" fillId="3" borderId="233" xfId="0" applyNumberFormat="1" applyFont="1" applyFill="1" applyBorder="1"/>
    <xf numFmtId="10" fontId="84" fillId="0" borderId="0" xfId="0" applyNumberFormat="1" applyFont="1"/>
    <xf numFmtId="0" fontId="160" fillId="0" borderId="1" xfId="3" applyFont="1"/>
    <xf numFmtId="178" fontId="160" fillId="0" borderId="1" xfId="70" applyNumberFormat="1" applyFont="1" applyBorder="1"/>
    <xf numFmtId="0" fontId="161" fillId="0" borderId="1" xfId="3" applyFont="1"/>
    <xf numFmtId="0" fontId="160" fillId="0" borderId="1" xfId="3" applyFont="1" applyAlignment="1">
      <alignment horizontal="center"/>
    </xf>
    <xf numFmtId="0" fontId="26" fillId="0" borderId="214" xfId="62" applyFont="1" applyBorder="1" applyAlignment="1">
      <alignment horizontal="center"/>
    </xf>
    <xf numFmtId="0" fontId="26" fillId="0" borderId="1" xfId="62" applyFont="1" applyAlignment="1">
      <alignment horizontal="center"/>
    </xf>
    <xf numFmtId="0" fontId="24" fillId="0" borderId="1" xfId="62" applyFont="1" applyAlignment="1">
      <alignment horizontal="center"/>
    </xf>
    <xf numFmtId="0" fontId="20" fillId="0" borderId="1" xfId="62" applyFont="1" applyAlignment="1">
      <alignment horizontal="center"/>
    </xf>
    <xf numFmtId="0" fontId="51" fillId="0" borderId="208" xfId="22" applyFont="1" applyBorder="1" applyAlignment="1" applyProtection="1">
      <alignment horizontal="left" vertical="center" wrapText="1"/>
      <protection locked="0"/>
    </xf>
    <xf numFmtId="0" fontId="37" fillId="0" borderId="208" xfId="22" applyFont="1" applyBorder="1" applyAlignment="1" applyProtection="1">
      <alignment horizontal="left" vertical="center" wrapText="1"/>
      <protection locked="0"/>
    </xf>
    <xf numFmtId="0" fontId="20" fillId="0" borderId="208" xfId="22" applyFont="1" applyBorder="1" applyAlignment="1" applyProtection="1">
      <alignment horizontal="left" vertical="center" wrapText="1"/>
      <protection locked="0"/>
    </xf>
    <xf numFmtId="1" fontId="85" fillId="0" borderId="1" xfId="0" applyNumberFormat="1" applyFont="1" applyBorder="1"/>
    <xf numFmtId="1" fontId="85" fillId="0" borderId="22" xfId="0" applyNumberFormat="1" applyFont="1" applyBorder="1"/>
    <xf numFmtId="1" fontId="85" fillId="0" borderId="24" xfId="0" applyNumberFormat="1" applyFont="1" applyBorder="1"/>
    <xf numFmtId="0" fontId="110" fillId="0" borderId="202" xfId="10" applyBorder="1"/>
    <xf numFmtId="0" fontId="110" fillId="0" borderId="208" xfId="10" applyBorder="1"/>
    <xf numFmtId="178" fontId="110" fillId="0" borderId="202" xfId="10" applyNumberFormat="1" applyBorder="1" applyAlignment="1">
      <alignment horizontal="right"/>
    </xf>
    <xf numFmtId="178" fontId="110" fillId="0" borderId="200" xfId="10" applyNumberFormat="1" applyBorder="1" applyAlignment="1">
      <alignment horizontal="right"/>
    </xf>
    <xf numFmtId="178" fontId="110" fillId="0" borderId="208" xfId="10" applyNumberFormat="1" applyBorder="1" applyAlignment="1">
      <alignment horizontal="right"/>
    </xf>
    <xf numFmtId="178" fontId="110" fillId="0" borderId="1" xfId="10" applyNumberFormat="1" applyAlignment="1">
      <alignment horizontal="right"/>
    </xf>
    <xf numFmtId="0" fontId="138" fillId="0" borderId="234" xfId="10" applyFont="1" applyBorder="1"/>
    <xf numFmtId="178" fontId="138" fillId="0" borderId="234" xfId="10" applyNumberFormat="1" applyFont="1" applyBorder="1" applyAlignment="1">
      <alignment horizontal="right"/>
    </xf>
    <xf numFmtId="178" fontId="138" fillId="0" borderId="235" xfId="10" applyNumberFormat="1" applyFont="1" applyBorder="1" applyAlignment="1">
      <alignment horizontal="right"/>
    </xf>
    <xf numFmtId="0" fontId="110" fillId="0" borderId="239" xfId="10" applyBorder="1"/>
    <xf numFmtId="178" fontId="110" fillId="0" borderId="239" xfId="10" applyNumberFormat="1" applyBorder="1" applyAlignment="1">
      <alignment horizontal="right"/>
    </xf>
    <xf numFmtId="178" fontId="110" fillId="0" borderId="240" xfId="10" applyNumberFormat="1" applyBorder="1" applyAlignment="1">
      <alignment horizontal="right"/>
    </xf>
    <xf numFmtId="37" fontId="84" fillId="0" borderId="0" xfId="0" applyNumberFormat="1" applyFont="1"/>
    <xf numFmtId="0" fontId="110" fillId="0" borderId="1" xfId="10" applyAlignment="1">
      <alignment vertical="center" wrapText="1"/>
    </xf>
    <xf numFmtId="0" fontId="138" fillId="0" borderId="202" xfId="10" applyFont="1" applyBorder="1" applyAlignment="1">
      <alignment horizontal="center" vertical="center" wrapText="1"/>
    </xf>
    <xf numFmtId="0" fontId="138" fillId="0" borderId="200" xfId="10" applyFont="1" applyBorder="1" applyAlignment="1">
      <alignment horizontal="center" vertical="center" wrapText="1"/>
    </xf>
    <xf numFmtId="37" fontId="93" fillId="29" borderId="0" xfId="0" applyNumberFormat="1" applyFont="1" applyFill="1"/>
    <xf numFmtId="0" fontId="16" fillId="0" borderId="208" xfId="22" applyFont="1" applyBorder="1" applyAlignment="1" applyProtection="1">
      <alignment horizontal="left" vertical="center" wrapText="1"/>
      <protection locked="0"/>
    </xf>
    <xf numFmtId="0" fontId="110" fillId="0" borderId="202" xfId="10" applyBorder="1" applyAlignment="1">
      <alignment vertical="center" wrapText="1"/>
    </xf>
    <xf numFmtId="0" fontId="110" fillId="0" borderId="210" xfId="10" applyBorder="1" applyAlignment="1">
      <alignment vertical="center" wrapText="1"/>
    </xf>
    <xf numFmtId="37" fontId="110" fillId="0" borderId="199" xfId="10" applyNumberFormat="1" applyBorder="1" applyAlignment="1">
      <alignment horizontal="center" vertical="center" wrapText="1"/>
    </xf>
    <xf numFmtId="0" fontId="110" fillId="0" borderId="202" xfId="10" applyBorder="1" applyAlignment="1">
      <alignment horizontal="center" vertical="center" wrapText="1"/>
    </xf>
    <xf numFmtId="37" fontId="110" fillId="0" borderId="202" xfId="10" applyNumberFormat="1" applyBorder="1" applyAlignment="1">
      <alignment horizontal="center" vertical="center" wrapText="1"/>
    </xf>
    <xf numFmtId="37" fontId="110" fillId="0" borderId="200" xfId="10" applyNumberFormat="1" applyBorder="1" applyAlignment="1">
      <alignment horizontal="center" vertical="center" wrapText="1"/>
    </xf>
    <xf numFmtId="3" fontId="110" fillId="0" borderId="203" xfId="10" applyNumberFormat="1" applyBorder="1" applyAlignment="1">
      <alignment horizontal="center" vertical="center" wrapText="1"/>
    </xf>
    <xf numFmtId="0" fontId="110" fillId="0" borderId="210" xfId="10" applyBorder="1" applyAlignment="1">
      <alignment horizontal="center" vertical="center" wrapText="1"/>
    </xf>
    <xf numFmtId="3" fontId="110" fillId="0" borderId="210" xfId="10" applyNumberFormat="1" applyBorder="1" applyAlignment="1">
      <alignment horizontal="center" vertical="center" wrapText="1"/>
    </xf>
    <xf numFmtId="3" fontId="110" fillId="0" borderId="212" xfId="10" applyNumberFormat="1" applyBorder="1" applyAlignment="1">
      <alignment horizontal="center" vertical="center" wrapText="1"/>
    </xf>
    <xf numFmtId="0" fontId="93" fillId="25" borderId="0" xfId="0" applyFont="1" applyFill="1"/>
    <xf numFmtId="0" fontId="138" fillId="31" borderId="236" xfId="10" applyFont="1" applyFill="1" applyBorder="1" applyAlignment="1">
      <alignment horizontal="center" vertical="center" wrapText="1"/>
    </xf>
    <xf numFmtId="37" fontId="110" fillId="31" borderId="236" xfId="10" applyNumberFormat="1" applyFill="1" applyBorder="1" applyAlignment="1">
      <alignment horizontal="center" vertical="center" wrapText="1"/>
    </xf>
    <xf numFmtId="37" fontId="110" fillId="31" borderId="242" xfId="10" applyNumberFormat="1" applyFill="1" applyBorder="1" applyAlignment="1">
      <alignment horizontal="center" vertical="center" wrapText="1"/>
    </xf>
    <xf numFmtId="178" fontId="110" fillId="31" borderId="237" xfId="10" applyNumberFormat="1" applyFill="1" applyBorder="1" applyAlignment="1">
      <alignment horizontal="right"/>
    </xf>
    <xf numFmtId="178" fontId="110" fillId="31" borderId="241" xfId="10" applyNumberFormat="1" applyFill="1" applyBorder="1" applyAlignment="1">
      <alignment horizontal="right"/>
    </xf>
    <xf numFmtId="178" fontId="110" fillId="31" borderId="236" xfId="10" applyNumberFormat="1" applyFill="1" applyBorder="1" applyAlignment="1">
      <alignment horizontal="right"/>
    </xf>
    <xf numFmtId="178" fontId="138" fillId="31" borderId="238" xfId="10" applyNumberFormat="1" applyFont="1" applyFill="1" applyBorder="1" applyAlignment="1">
      <alignment horizontal="right"/>
    </xf>
    <xf numFmtId="3" fontId="85" fillId="0" borderId="0" xfId="0" applyNumberFormat="1" applyFont="1"/>
    <xf numFmtId="0" fontId="84" fillId="31" borderId="0" xfId="0" applyFont="1" applyFill="1"/>
    <xf numFmtId="0" fontId="12" fillId="0" borderId="1" xfId="62" applyFont="1" applyAlignment="1">
      <alignment horizontal="center"/>
    </xf>
    <xf numFmtId="0" fontId="12" fillId="0" borderId="172" xfId="62" applyFont="1" applyBorder="1" applyAlignment="1">
      <alignment horizontal="center"/>
    </xf>
    <xf numFmtId="170" fontId="94" fillId="3" borderId="229" xfId="0" applyNumberFormat="1" applyFont="1" applyFill="1" applyBorder="1"/>
    <xf numFmtId="170" fontId="139" fillId="0" borderId="226" xfId="57" applyNumberFormat="1" applyFont="1" applyBorder="1" applyAlignment="1">
      <alignment horizontal="center"/>
    </xf>
    <xf numFmtId="37" fontId="139" fillId="0" borderId="224" xfId="55" applyNumberFormat="1" applyFont="1" applyBorder="1" applyAlignment="1">
      <alignment horizontal="center"/>
    </xf>
    <xf numFmtId="0" fontId="11" fillId="0" borderId="208" xfId="22" applyFont="1" applyBorder="1" applyAlignment="1" applyProtection="1">
      <alignment horizontal="left" vertical="center" wrapText="1"/>
      <protection locked="0"/>
    </xf>
    <xf numFmtId="170" fontId="85" fillId="0" borderId="12" xfId="16" applyNumberFormat="1" applyFont="1" applyFill="1" applyBorder="1"/>
    <xf numFmtId="170" fontId="85" fillId="0" borderId="1" xfId="16" applyNumberFormat="1" applyFont="1" applyFill="1" applyBorder="1"/>
    <xf numFmtId="170" fontId="85" fillId="0" borderId="15" xfId="16" applyNumberFormat="1" applyFont="1" applyFill="1" applyBorder="1"/>
    <xf numFmtId="0" fontId="107" fillId="0" borderId="0" xfId="0" applyFont="1" applyAlignment="1">
      <alignment horizontal="left" vertical="top"/>
    </xf>
    <xf numFmtId="0" fontId="107" fillId="0" borderId="49" xfId="0" quotePrefix="1" applyFont="1" applyBorder="1" applyAlignment="1">
      <alignment horizontal="left" vertical="top"/>
    </xf>
    <xf numFmtId="1" fontId="107" fillId="0" borderId="0" xfId="0" applyNumberFormat="1" applyFont="1" applyAlignment="1">
      <alignment horizontal="left" vertical="top"/>
    </xf>
    <xf numFmtId="0" fontId="109" fillId="8" borderId="48" xfId="0" applyFont="1" applyFill="1" applyBorder="1" applyAlignment="1">
      <alignment horizontal="left" vertical="top"/>
    </xf>
    <xf numFmtId="1" fontId="107" fillId="10" borderId="0" xfId="0" applyNumberFormat="1" applyFont="1" applyFill="1" applyAlignment="1">
      <alignment horizontal="left" vertical="top"/>
    </xf>
    <xf numFmtId="49" fontId="106" fillId="0" borderId="0" xfId="0" applyNumberFormat="1" applyFont="1" applyAlignment="1">
      <alignment horizontal="left" vertical="top"/>
    </xf>
    <xf numFmtId="49" fontId="107" fillId="0" borderId="0" xfId="0" applyNumberFormat="1" applyFont="1" applyAlignment="1">
      <alignment horizontal="left" vertical="top"/>
    </xf>
    <xf numFmtId="0" fontId="107" fillId="5" borderId="48" xfId="0" applyFont="1" applyFill="1" applyBorder="1" applyAlignment="1">
      <alignment horizontal="left" vertical="top"/>
    </xf>
    <xf numFmtId="1" fontId="107" fillId="13" borderId="48" xfId="0" applyNumberFormat="1" applyFont="1" applyFill="1" applyBorder="1" applyAlignment="1">
      <alignment horizontal="left" vertical="top"/>
    </xf>
    <xf numFmtId="39" fontId="106" fillId="0" borderId="0" xfId="0" applyNumberFormat="1" applyFont="1" applyAlignment="1">
      <alignment horizontal="left" vertical="top"/>
    </xf>
    <xf numFmtId="0" fontId="107" fillId="10" borderId="0" xfId="0" applyFont="1" applyFill="1" applyAlignment="1">
      <alignment horizontal="left" vertical="top"/>
    </xf>
    <xf numFmtId="49" fontId="107" fillId="0" borderId="44" xfId="0" applyNumberFormat="1" applyFont="1" applyBorder="1" applyAlignment="1">
      <alignment horizontal="left" vertical="top"/>
    </xf>
    <xf numFmtId="0" fontId="106" fillId="8" borderId="48" xfId="0" applyFont="1" applyFill="1" applyBorder="1" applyAlignment="1">
      <alignment horizontal="left" vertical="top"/>
    </xf>
    <xf numFmtId="49" fontId="106" fillId="10" borderId="0" xfId="0" applyNumberFormat="1" applyFont="1" applyFill="1" applyAlignment="1">
      <alignment horizontal="left" vertical="top"/>
    </xf>
    <xf numFmtId="0" fontId="106" fillId="0" borderId="1" xfId="0" applyFont="1" applyBorder="1" applyAlignment="1">
      <alignment horizontal="left" vertical="top"/>
    </xf>
    <xf numFmtId="0" fontId="106" fillId="5" borderId="48" xfId="0" applyFont="1" applyFill="1" applyBorder="1" applyAlignment="1">
      <alignment horizontal="left" vertical="top"/>
    </xf>
    <xf numFmtId="39" fontId="106" fillId="0" borderId="45" xfId="0" applyNumberFormat="1" applyFont="1" applyBorder="1" applyAlignment="1">
      <alignment horizontal="left" vertical="top"/>
    </xf>
    <xf numFmtId="39" fontId="106" fillId="10" borderId="0" xfId="0" applyNumberFormat="1" applyFont="1" applyFill="1" applyAlignment="1">
      <alignment horizontal="left" vertical="top"/>
    </xf>
    <xf numFmtId="0" fontId="106" fillId="5" borderId="0" xfId="0" applyFont="1" applyFill="1" applyAlignment="1">
      <alignment horizontal="left" vertical="top"/>
    </xf>
    <xf numFmtId="1" fontId="107" fillId="10" borderId="1" xfId="0" applyNumberFormat="1" applyFont="1" applyFill="1" applyBorder="1" applyAlignment="1">
      <alignment horizontal="left" vertical="top"/>
    </xf>
    <xf numFmtId="0" fontId="107" fillId="10" borderId="49" xfId="0" quotePrefix="1" applyFont="1" applyFill="1" applyBorder="1" applyAlignment="1">
      <alignment horizontal="left" vertical="top"/>
    </xf>
    <xf numFmtId="49" fontId="107" fillId="0" borderId="46" xfId="0" applyNumberFormat="1" applyFont="1" applyBorder="1" applyAlignment="1">
      <alignment horizontal="left" vertical="top"/>
    </xf>
    <xf numFmtId="0" fontId="107" fillId="10" borderId="44" xfId="0" quotePrefix="1" applyFont="1" applyFill="1" applyBorder="1" applyAlignment="1">
      <alignment horizontal="left" vertical="top"/>
    </xf>
    <xf numFmtId="49" fontId="106" fillId="10" borderId="1" xfId="0" applyNumberFormat="1" applyFont="1" applyFill="1" applyBorder="1" applyAlignment="1">
      <alignment horizontal="left" vertical="top"/>
    </xf>
    <xf numFmtId="49" fontId="75" fillId="0" borderId="45" xfId="0" applyNumberFormat="1" applyFont="1" applyBorder="1" applyAlignment="1">
      <alignment horizontal="left" vertical="top"/>
    </xf>
    <xf numFmtId="0" fontId="106" fillId="0" borderId="47" xfId="0" applyFont="1" applyBorder="1" applyAlignment="1">
      <alignment horizontal="left" vertical="top"/>
    </xf>
    <xf numFmtId="39" fontId="106" fillId="0" borderId="50" xfId="0" applyNumberFormat="1" applyFont="1" applyBorder="1" applyAlignment="1">
      <alignment horizontal="left" vertical="top"/>
    </xf>
    <xf numFmtId="49" fontId="75" fillId="0" borderId="44" xfId="0" applyNumberFormat="1" applyFont="1" applyBorder="1" applyAlignment="1">
      <alignment horizontal="left" vertical="top"/>
    </xf>
    <xf numFmtId="0" fontId="106" fillId="10" borderId="1" xfId="0" applyFont="1" applyFill="1" applyBorder="1" applyAlignment="1">
      <alignment horizontal="left" vertical="top"/>
    </xf>
    <xf numFmtId="49" fontId="9" fillId="12" borderId="1" xfId="12" applyNumberFormat="1" applyFont="1" applyFill="1" applyAlignment="1">
      <alignment horizontal="left" vertical="center"/>
    </xf>
    <xf numFmtId="0" fontId="8" fillId="0" borderId="208" xfId="22" applyFont="1" applyBorder="1" applyAlignment="1" applyProtection="1">
      <alignment horizontal="left" vertical="center" wrapText="1"/>
      <protection locked="0"/>
    </xf>
    <xf numFmtId="3" fontId="85" fillId="0" borderId="0" xfId="0" applyNumberFormat="1" applyFont="1" applyAlignment="1">
      <alignment horizontal="center"/>
    </xf>
    <xf numFmtId="3" fontId="86" fillId="0" borderId="22" xfId="0" applyNumberFormat="1" applyFont="1" applyBorder="1"/>
    <xf numFmtId="0" fontId="85" fillId="4" borderId="0" xfId="0" applyFont="1" applyFill="1"/>
    <xf numFmtId="0" fontId="86" fillId="4" borderId="0" xfId="0" applyFont="1" applyFill="1"/>
    <xf numFmtId="171" fontId="85" fillId="0" borderId="0" xfId="0" applyNumberFormat="1" applyFont="1"/>
    <xf numFmtId="2" fontId="85" fillId="0" borderId="0" xfId="0" applyNumberFormat="1" applyFont="1"/>
    <xf numFmtId="172" fontId="85" fillId="0" borderId="0" xfId="0" applyNumberFormat="1" applyFont="1"/>
    <xf numFmtId="171" fontId="86" fillId="0" borderId="0" xfId="0" applyNumberFormat="1" applyFont="1"/>
    <xf numFmtId="37" fontId="85" fillId="11" borderId="0" xfId="0" applyNumberFormat="1" applyFont="1" applyFill="1"/>
    <xf numFmtId="170" fontId="86" fillId="3" borderId="0" xfId="0" applyNumberFormat="1" applyFont="1" applyFill="1"/>
    <xf numFmtId="37" fontId="112" fillId="0" borderId="0" xfId="0" applyNumberFormat="1" applyFont="1"/>
    <xf numFmtId="0" fontId="94" fillId="0" borderId="0" xfId="0" applyFont="1" applyAlignment="1">
      <alignment horizontal="center" vertical="center"/>
    </xf>
    <xf numFmtId="0" fontId="83" fillId="0" borderId="0" xfId="0" applyFont="1" applyAlignment="1">
      <alignment horizontal="center"/>
    </xf>
    <xf numFmtId="0" fontId="88" fillId="0" borderId="0" xfId="0" applyFont="1"/>
    <xf numFmtId="37" fontId="88" fillId="0" borderId="0" xfId="0" applyNumberFormat="1" applyFont="1"/>
    <xf numFmtId="170" fontId="88" fillId="0" borderId="0" xfId="0" applyNumberFormat="1" applyFont="1"/>
    <xf numFmtId="0" fontId="88" fillId="0" borderId="0" xfId="0" applyFont="1" applyAlignment="1">
      <alignment horizontal="right"/>
    </xf>
    <xf numFmtId="171" fontId="88" fillId="0" borderId="0" xfId="0" applyNumberFormat="1" applyFont="1"/>
    <xf numFmtId="170" fontId="94" fillId="0" borderId="0" xfId="0" applyNumberFormat="1" applyFont="1"/>
    <xf numFmtId="0" fontId="94" fillId="0" borderId="0" xfId="0" applyFont="1"/>
    <xf numFmtId="0" fontId="93" fillId="4" borderId="0" xfId="0" applyFont="1" applyFill="1"/>
    <xf numFmtId="37" fontId="94" fillId="0" borderId="0" xfId="0" applyNumberFormat="1" applyFont="1"/>
    <xf numFmtId="37" fontId="88" fillId="4" borderId="0" xfId="0" applyNumberFormat="1" applyFont="1" applyFill="1"/>
    <xf numFmtId="170" fontId="88" fillId="4" borderId="0" xfId="0" applyNumberFormat="1" applyFont="1" applyFill="1"/>
    <xf numFmtId="170" fontId="94" fillId="3" borderId="231" xfId="0" applyNumberFormat="1" applyFont="1" applyFill="1" applyBorder="1"/>
    <xf numFmtId="0" fontId="95" fillId="4" borderId="0" xfId="0" applyFont="1" applyFill="1"/>
    <xf numFmtId="37" fontId="93" fillId="4" borderId="0" xfId="0" applyNumberFormat="1" applyFont="1" applyFill="1"/>
    <xf numFmtId="0" fontId="97" fillId="4" borderId="0" xfId="0" applyFont="1" applyFill="1"/>
    <xf numFmtId="37" fontId="95" fillId="4" borderId="0" xfId="0" applyNumberFormat="1" applyFont="1" applyFill="1"/>
    <xf numFmtId="0" fontId="98" fillId="4" borderId="0" xfId="0" applyFont="1" applyFill="1" applyAlignment="1">
      <alignment horizontal="center" vertical="center"/>
    </xf>
    <xf numFmtId="0" fontId="93" fillId="4" borderId="0" xfId="0" applyFont="1" applyFill="1" applyAlignment="1">
      <alignment horizontal="center" vertical="center"/>
    </xf>
    <xf numFmtId="169" fontId="99" fillId="4" borderId="0" xfId="0" applyNumberFormat="1" applyFont="1" applyFill="1" applyAlignment="1">
      <alignment horizontal="right"/>
    </xf>
    <xf numFmtId="0" fontId="95" fillId="4" borderId="0" xfId="0" applyFont="1" applyFill="1" applyAlignment="1">
      <alignment horizontal="center"/>
    </xf>
    <xf numFmtId="0" fontId="93" fillId="4" borderId="0" xfId="0" applyFont="1" applyFill="1" applyAlignment="1">
      <alignment horizontal="center"/>
    </xf>
    <xf numFmtId="0" fontId="99" fillId="4" borderId="0" xfId="0" applyFont="1" applyFill="1" applyAlignment="1">
      <alignment horizontal="center"/>
    </xf>
    <xf numFmtId="0" fontId="99" fillId="4" borderId="0" xfId="0" applyFont="1" applyFill="1"/>
    <xf numFmtId="170" fontId="93" fillId="4" borderId="0" xfId="0" applyNumberFormat="1" applyFont="1" applyFill="1"/>
    <xf numFmtId="9" fontId="93" fillId="4" borderId="0" xfId="0" applyNumberFormat="1" applyFont="1" applyFill="1"/>
    <xf numFmtId="170" fontId="95" fillId="4" borderId="0" xfId="0" applyNumberFormat="1" applyFont="1" applyFill="1"/>
    <xf numFmtId="0" fontId="100" fillId="4" borderId="0" xfId="0" applyFont="1" applyFill="1"/>
    <xf numFmtId="0" fontId="98" fillId="4" borderId="0" xfId="0" applyFont="1" applyFill="1" applyAlignment="1">
      <alignment horizontal="center"/>
    </xf>
    <xf numFmtId="169" fontId="93" fillId="4" borderId="0" xfId="0" applyNumberFormat="1" applyFont="1" applyFill="1" applyAlignment="1">
      <alignment horizontal="center"/>
    </xf>
    <xf numFmtId="0" fontId="101" fillId="4" borderId="0" xfId="0" applyFont="1" applyFill="1" applyAlignment="1">
      <alignment horizontal="center"/>
    </xf>
    <xf numFmtId="0" fontId="99" fillId="4" borderId="0" xfId="0" applyFont="1" applyFill="1" applyAlignment="1">
      <alignment horizontal="left"/>
    </xf>
    <xf numFmtId="0" fontId="102" fillId="4" borderId="0" xfId="0" applyFont="1" applyFill="1"/>
    <xf numFmtId="37" fontId="111" fillId="0" borderId="105" xfId="0" applyNumberFormat="1" applyFont="1" applyBorder="1"/>
    <xf numFmtId="165" fontId="79" fillId="0" borderId="3" xfId="0" applyNumberFormat="1" applyFont="1" applyBorder="1"/>
    <xf numFmtId="165" fontId="79" fillId="0" borderId="53" xfId="0" applyNumberFormat="1" applyFont="1" applyBorder="1"/>
    <xf numFmtId="165" fontId="75" fillId="0" borderId="0" xfId="0" applyNumberFormat="1" applyFont="1"/>
    <xf numFmtId="0" fontId="138" fillId="0" borderId="199" xfId="10" applyFont="1" applyBorder="1" applyAlignment="1">
      <alignment horizontal="center" vertical="center" wrapText="1"/>
    </xf>
    <xf numFmtId="178" fontId="110" fillId="0" borderId="209" xfId="10" applyNumberFormat="1" applyBorder="1" applyAlignment="1">
      <alignment horizontal="right"/>
    </xf>
    <xf numFmtId="178" fontId="110" fillId="0" borderId="243" xfId="10" applyNumberFormat="1" applyBorder="1" applyAlignment="1">
      <alignment horizontal="right"/>
    </xf>
    <xf numFmtId="178" fontId="138" fillId="0" borderId="244" xfId="10" applyNumberFormat="1" applyFont="1" applyBorder="1" applyAlignment="1">
      <alignment horizontal="right"/>
    </xf>
    <xf numFmtId="10" fontId="93" fillId="32" borderId="0" xfId="0" quotePrefix="1" applyNumberFormat="1" applyFont="1" applyFill="1"/>
    <xf numFmtId="4" fontId="64" fillId="12" borderId="1" xfId="12" applyNumberFormat="1" applyFill="1"/>
    <xf numFmtId="0" fontId="162" fillId="0" borderId="0" xfId="0" applyFont="1"/>
    <xf numFmtId="166" fontId="162" fillId="0" borderId="0" xfId="0" quotePrefix="1" applyNumberFormat="1" applyFont="1"/>
    <xf numFmtId="0" fontId="121" fillId="0" borderId="55" xfId="2" applyFont="1" applyBorder="1" applyAlignment="1">
      <alignment horizontal="center"/>
    </xf>
    <xf numFmtId="0" fontId="121" fillId="0" borderId="0" xfId="0" applyFont="1" applyAlignment="1">
      <alignment horizontal="center"/>
    </xf>
    <xf numFmtId="0" fontId="86" fillId="0" borderId="68" xfId="0" applyFont="1" applyBorder="1" applyAlignment="1">
      <alignment horizontal="center"/>
    </xf>
    <xf numFmtId="0" fontId="87" fillId="0" borderId="68" xfId="0" applyFont="1" applyBorder="1"/>
    <xf numFmtId="0" fontId="87" fillId="0" borderId="69" xfId="0" applyFont="1" applyBorder="1"/>
    <xf numFmtId="0" fontId="86" fillId="0" borderId="26" xfId="0" applyFont="1" applyBorder="1" applyAlignment="1">
      <alignment horizontal="center"/>
    </xf>
    <xf numFmtId="0" fontId="87" fillId="0" borderId="27" xfId="0" applyFont="1" applyBorder="1"/>
    <xf numFmtId="0" fontId="86" fillId="0" borderId="71" xfId="0" applyFont="1" applyBorder="1" applyAlignment="1">
      <alignment horizontal="center"/>
    </xf>
    <xf numFmtId="0" fontId="86" fillId="0" borderId="92" xfId="0" applyFont="1" applyBorder="1" applyAlignment="1">
      <alignment horizontal="center" vertical="center"/>
    </xf>
    <xf numFmtId="0" fontId="87" fillId="0" borderId="90" xfId="0" applyFont="1" applyBorder="1"/>
    <xf numFmtId="0" fontId="87" fillId="0" borderId="93" xfId="0" applyFont="1" applyBorder="1"/>
    <xf numFmtId="0" fontId="87" fillId="0" borderId="64" xfId="0" applyFont="1" applyBorder="1"/>
    <xf numFmtId="0" fontId="86" fillId="0" borderId="90" xfId="0" applyFont="1" applyBorder="1" applyAlignment="1">
      <alignment horizontal="center" vertical="center"/>
    </xf>
    <xf numFmtId="0" fontId="87" fillId="0" borderId="91" xfId="0" applyFont="1" applyBorder="1"/>
    <xf numFmtId="17" fontId="86" fillId="30" borderId="204" xfId="10" quotePrefix="1" applyNumberFormat="1" applyFont="1" applyFill="1" applyBorder="1" applyAlignment="1">
      <alignment horizontal="center"/>
    </xf>
    <xf numFmtId="17" fontId="86" fillId="30" borderId="206" xfId="10" quotePrefix="1" applyNumberFormat="1" applyFont="1" applyFill="1" applyBorder="1" applyAlignment="1">
      <alignment horizontal="center"/>
    </xf>
    <xf numFmtId="17" fontId="86" fillId="30" borderId="205" xfId="10" quotePrefix="1" applyNumberFormat="1" applyFont="1" applyFill="1" applyBorder="1" applyAlignment="1">
      <alignment horizontal="center"/>
    </xf>
    <xf numFmtId="0" fontId="75" fillId="28" borderId="173" xfId="0" applyFont="1" applyFill="1" applyBorder="1" applyAlignment="1">
      <alignment vertical="center" wrapText="1"/>
    </xf>
    <xf numFmtId="0" fontId="75" fillId="28" borderId="171" xfId="0" applyFont="1" applyFill="1" applyBorder="1" applyAlignment="1">
      <alignment vertical="center" wrapText="1"/>
    </xf>
    <xf numFmtId="0" fontId="75" fillId="28" borderId="174" xfId="0" applyFont="1" applyFill="1" applyBorder="1" applyAlignment="1">
      <alignment vertical="center" wrapText="1"/>
    </xf>
    <xf numFmtId="0" fontId="140" fillId="0" borderId="55" xfId="3" applyFont="1" applyBorder="1" applyAlignment="1">
      <alignment horizontal="center"/>
    </xf>
    <xf numFmtId="0" fontId="139" fillId="18" borderId="199" xfId="22" applyFont="1" applyFill="1" applyBorder="1" applyAlignment="1">
      <alignment horizontal="center" vertical="center" wrapText="1"/>
    </xf>
    <xf numFmtId="0" fontId="139" fillId="18" borderId="203" xfId="22" applyFont="1" applyFill="1" applyBorder="1" applyAlignment="1">
      <alignment horizontal="center" vertical="center" wrapText="1"/>
    </xf>
    <xf numFmtId="0" fontId="140" fillId="11" borderId="204" xfId="22" applyFont="1" applyFill="1" applyBorder="1" applyAlignment="1">
      <alignment horizontal="center" vertical="center" wrapText="1"/>
    </xf>
    <xf numFmtId="0" fontId="140" fillId="11" borderId="205" xfId="22" applyFont="1" applyFill="1" applyBorder="1" applyAlignment="1">
      <alignment horizontal="center" vertical="center" wrapText="1"/>
    </xf>
    <xf numFmtId="0" fontId="155" fillId="0" borderId="224" xfId="62" applyFont="1" applyBorder="1" applyAlignment="1">
      <alignment horizontal="center" wrapText="1"/>
    </xf>
    <xf numFmtId="0" fontId="155" fillId="0" borderId="225" xfId="62" applyFont="1" applyBorder="1" applyAlignment="1">
      <alignment horizontal="center" wrapText="1"/>
    </xf>
    <xf numFmtId="0" fontId="155" fillId="0" borderId="226" xfId="62" applyFont="1" applyBorder="1" applyAlignment="1">
      <alignment horizontal="center" wrapText="1"/>
    </xf>
    <xf numFmtId="0" fontId="139" fillId="0" borderId="129" xfId="55" applyFont="1" applyBorder="1" applyAlignment="1">
      <alignment horizontal="center"/>
    </xf>
    <xf numFmtId="0" fontId="139" fillId="0" borderId="170" xfId="55" applyFont="1" applyBorder="1" applyAlignment="1">
      <alignment horizontal="center"/>
    </xf>
    <xf numFmtId="0" fontId="155" fillId="0" borderId="1" xfId="55" applyFont="1" applyAlignment="1">
      <alignment horizontal="left" vertical="center"/>
    </xf>
    <xf numFmtId="2" fontId="139" fillId="21" borderId="129" xfId="55" applyNumberFormat="1" applyFont="1" applyFill="1" applyBorder="1" applyAlignment="1">
      <alignment horizontal="center"/>
    </xf>
    <xf numFmtId="2" fontId="139" fillId="21" borderId="131" xfId="55" applyNumberFormat="1" applyFont="1" applyFill="1" applyBorder="1" applyAlignment="1">
      <alignment horizontal="center"/>
    </xf>
    <xf numFmtId="2" fontId="139" fillId="21" borderId="170" xfId="55" applyNumberFormat="1" applyFont="1" applyFill="1" applyBorder="1" applyAlignment="1">
      <alignment horizontal="center"/>
    </xf>
    <xf numFmtId="2" fontId="139" fillId="21" borderId="129" xfId="55" applyNumberFormat="1" applyFont="1" applyFill="1" applyBorder="1" applyAlignment="1">
      <alignment horizontal="center" wrapText="1"/>
    </xf>
    <xf numFmtId="2" fontId="139" fillId="21" borderId="131" xfId="55" applyNumberFormat="1" applyFont="1" applyFill="1" applyBorder="1" applyAlignment="1">
      <alignment horizontal="center" wrapText="1"/>
    </xf>
    <xf numFmtId="2" fontId="139" fillId="21" borderId="170" xfId="55" applyNumberFormat="1" applyFont="1" applyFill="1" applyBorder="1" applyAlignment="1">
      <alignment horizontal="center" wrapText="1"/>
    </xf>
    <xf numFmtId="0" fontId="139" fillId="0" borderId="1" xfId="55" applyFont="1" applyAlignment="1">
      <alignment horizontal="center"/>
    </xf>
  </cellXfs>
  <cellStyles count="91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55" xfId="89" xr:uid="{3E12D046-EB75-4C08-9BBD-21BA0198ED1E}"/>
    <cellStyle name="Normal 56" xfId="90" xr:uid="{D1D753A3-43B6-4B06-B752-A3BCCF844EC7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9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8"/>
      <tableStyleElement type="firstRowStripe" dxfId="347"/>
      <tableStyleElement type="secondRowStripe" dxfId="346"/>
    </tableStyle>
    <tableStyle name="Data_Validation ex-style" pivot="0" count="3" xr9:uid="{00000000-0011-0000-FFFF-FFFF01000000}">
      <tableStyleElement type="headerRow" dxfId="345"/>
      <tableStyleElement type="firstRowStripe" dxfId="344"/>
      <tableStyleElement type="secondRowStripe" dxfId="343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66">
  <autoFilter ref="A1:G1066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2"/>
    <tableColumn id="7" xr3:uid="{00000000-0010-0000-0000-000007000000}" name="Comptes de ventes" dataDxfId="341"/>
    <tableColumn id="6" xr3:uid="{00000000-0010-0000-0000-000006000000}" name="Type de compte" dataDxfId="34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303</v>
      </c>
      <c r="C3" s="155">
        <f>+VLOOKUP(B3,$K$3:$L$14,2,0)</f>
        <v>12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66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67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67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>X</v>
      </c>
    </row>
    <row r="12" spans="1:1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>X</v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>X</v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>X</v>
      </c>
      <c r="N14" s="155" t="str">
        <f t="shared" si="1"/>
        <v>X</v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1000"/>
  <sheetViews>
    <sheetView topLeftCell="A37" workbookViewId="0">
      <selection activeCell="H19" sqref="H19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Décembre 2025</v>
      </c>
      <c r="B3" s="2"/>
      <c r="C3" s="2"/>
      <c r="D3" s="2"/>
      <c r="E3" s="126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8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1266">
        <f>SUMIFS(BV_Data_An_Cour!$P:$P,BV_Data_An_Cour!$U:$U,$A$1,BV_Data_An_Cour!$V:$V,$A5)</f>
        <v>1767433.09</v>
      </c>
      <c r="C5" s="460"/>
      <c r="D5" s="8" t="s">
        <v>9</v>
      </c>
      <c r="E5" s="486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0">
        <f>SUM(B5)</f>
        <v>1767433.09</v>
      </c>
      <c r="C6" s="461"/>
      <c r="D6" s="10"/>
      <c r="E6" s="48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7"/>
      <c r="C7" s="460"/>
      <c r="D7" s="9" t="s">
        <v>11</v>
      </c>
      <c r="E7" s="492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87">
        <f>SUMIFS(BV_Data_An_Cour!$P:$P,BV_Data_An_Cour!$U:$U,$A$1,BV_Data_An_Cour!$V:$V,$A8)</f>
        <v>232113.53</v>
      </c>
      <c r="C8" s="460"/>
      <c r="D8" s="10"/>
      <c r="E8" s="48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87">
        <f>SUMIFS(BV_Data_An_Cour!$P:$P,BV_Data_An_Cour!$U:$U,$A$1,BV_Data_An_Cour!$V:$V,$A9)</f>
        <v>306249.36</v>
      </c>
      <c r="C9" s="460"/>
      <c r="D9" s="10" t="s">
        <v>14</v>
      </c>
      <c r="E9" s="487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87">
        <f>SUMIFS(BV_Data_An_Cour!$P:$P,BV_Data_An_Cour!$U:$U,$A$1,BV_Data_An_Cour!$V:$V,$A10)</f>
        <v>74541.55</v>
      </c>
      <c r="C10" s="460"/>
      <c r="D10" s="10" t="s">
        <v>16</v>
      </c>
      <c r="E10" s="487">
        <f>-SUMIFS(BV_Data_An_Cour!$P:$P,BV_Data_An_Cour!$U:$U,$A$1,BV_Data_An_Cour!$V:$V,$D10)</f>
        <v>242247.89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87">
        <f>SUMIFS(BV_Data_An_Cour!$P:$P,BV_Data_An_Cour!$U:$U,$A$1,BV_Data_An_Cour!$V:$V,$A11)</f>
        <v>42239.3</v>
      </c>
      <c r="C11" s="460"/>
      <c r="D11" s="10" t="s">
        <v>18</v>
      </c>
      <c r="E11" s="487">
        <f>-SUMIFS(BV_Data_An_Cour!$P:$P,BV_Data_An_Cour!$U:$U,$A$1,BV_Data_An_Cour!$V:$V,$D11)</f>
        <v>34034.819999999992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87">
        <f>SUMIFS(BV_Data_An_Cour!$P:$P,BV_Data_An_Cour!$U:$U,$A$1,BV_Data_An_Cour!$V:$V,$A12)</f>
        <v>13736.45</v>
      </c>
      <c r="C12" s="460"/>
      <c r="D12" s="10" t="s">
        <v>20</v>
      </c>
      <c r="E12" s="487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7">
        <f>SUMIFS(BV_Data_An_Cour!$P:$P,BV_Data_An_Cour!$U:$U,$A$1,BV_Data_An_Cour!$V:$V,$A13)</f>
        <v>0</v>
      </c>
      <c r="C13" s="460"/>
      <c r="D13" s="10" t="s">
        <v>22</v>
      </c>
      <c r="E13" s="487">
        <f>-SUMIFS(BV_Data_An_Cour!$P:$P,BV_Data_An_Cour!$U:$U,$A$1,BV_Data_An_Cour!$V:$V,$D13)</f>
        <v>153000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87">
        <f>SUMIFS(BV_Data_An_Cour!$P:$P,BV_Data_An_Cour!$U:$U,$A$1,BV_Data_An_Cour!$V:$V,$A14)</f>
        <v>0</v>
      </c>
      <c r="C14" s="460"/>
      <c r="D14" s="10" t="s">
        <v>24</v>
      </c>
      <c r="E14" s="487">
        <f>-SUMIFS(BV_Data_An_Cour!$P:$P,BV_Data_An_Cour!$U:$U,$A$1,BV_Data_An_Cour!$V:$V,$D14)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87">
        <f>SUMIFS(BV_Data_An_Cour!$P:$P,BV_Data_An_Cour!$U:$U,$A$1,BV_Data_An_Cour!$V:$V,$A15)</f>
        <v>16743</v>
      </c>
      <c r="C15" s="460"/>
      <c r="D15" s="10" t="s">
        <v>26</v>
      </c>
      <c r="E15" s="487">
        <f>-SUMIFS(BV_Data_An_Cour!$P:$P,BV_Data_An_Cour!$U:$U,$A$1,BV_Data_An_Cour!$V:$V,$D15)</f>
        <v>9572.8300000000017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0">
        <f>+SUM(B8:B15)</f>
        <v>685623.19000000006</v>
      </c>
      <c r="C16" s="461"/>
      <c r="D16" s="9" t="s">
        <v>28</v>
      </c>
      <c r="E16" s="492">
        <f>+SUM(E10:E15)</f>
        <v>438855.54000000004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7"/>
      <c r="C17" s="460"/>
      <c r="D17" s="11"/>
      <c r="E17" s="48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87">
        <f>SUMIFS(BV_Data_An_Cour!$P:$P,BV_Data_An_Cour!$U:$U,$A$1,BV_Data_An_Cour!$V:$V,$A18)</f>
        <v>6499673.0099999998</v>
      </c>
      <c r="C18" s="460"/>
      <c r="D18" s="10" t="s">
        <v>30</v>
      </c>
      <c r="E18" s="487">
        <f>-SUMIFS(BV_Data_An_Cour!$P:$P,BV_Data_An_Cour!$U:$U,$A$1,BV_Data_An_Cour!$V:$V,$D18)</f>
        <v>7321110.0099999998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87">
        <f>SUMIFS(BV_Data_An_Cour!$P:$P,BV_Data_An_Cour!$U:$U,$A$1,BV_Data_An_Cour!$V:$V,$A19)</f>
        <v>1109201.6199999999</v>
      </c>
      <c r="C19" s="460"/>
      <c r="D19" s="10" t="s">
        <v>32</v>
      </c>
      <c r="E19" s="487">
        <f>-SUMIFS(BV_Data_An_Cour!$P:$P,BV_Data_An_Cour!$U:$U,$A$1,BV_Data_An_Cour!$V:$V,$D19)</f>
        <v>778872.67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87">
        <f>SUMIFS(BV_Data_An_Cour!$P:$P,BV_Data_An_Cour!$U:$U,$A$1,BV_Data_An_Cour!$V:$V,$A20)</f>
        <v>461686.26</v>
      </c>
      <c r="C20" s="460"/>
      <c r="D20" s="9" t="s">
        <v>34</v>
      </c>
      <c r="E20" s="492">
        <f>+SUM(E18:E19)</f>
        <v>8099982.6799999997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0">
        <f>SUM(B18:B20)</f>
        <v>8070560.8899999997</v>
      </c>
      <c r="C21" s="461"/>
      <c r="D21" s="10"/>
      <c r="E21" s="48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7"/>
      <c r="C22" s="460"/>
      <c r="D22" s="10" t="s">
        <v>36</v>
      </c>
      <c r="E22" s="487">
        <f>-SUMIFS(BV_Data_An_Cour!$P:$P,BV_Data_An_Cour!$U:$U,$A$1,BV_Data_An_Cour!$V:$V,$D22)</f>
        <v>232320.02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7">
        <f>SUMIFS(BV_Data_An_Cour!$P:$P,BV_Data_An_Cour!$U:$U,$A$1,BV_Data_An_Cour!$V:$V,$A23)</f>
        <v>0</v>
      </c>
      <c r="C23" s="460"/>
      <c r="D23" s="10" t="s">
        <v>38</v>
      </c>
      <c r="E23" s="487">
        <f>-SUMIFS(BV_Data_An_Cour!$P:$P,BV_Data_An_Cour!$U:$U,$A$1,BV_Data_An_Cour!$V:$V,$D23)</f>
        <v>28281.040000000001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7">
        <f>SUMIFS(BV_Data_An_Cour!$P:$P,BV_Data_An_Cour!$U:$U,$A$1,BV_Data_An_Cour!$V:$V,$A24)</f>
        <v>2944.14</v>
      </c>
      <c r="C24" s="460"/>
      <c r="D24" s="10" t="s">
        <v>40</v>
      </c>
      <c r="E24" s="487">
        <f>-SUMIFS(BV_Data_An_Cour!$P:$P,BV_Data_An_Cour!$U:$U,$A$1,BV_Data_An_Cour!$V:$V,$D24)</f>
        <v>148847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7">
        <f>SUMIFS(BV_Data_An_Cour!$P:$P,BV_Data_An_Cour!$U:$U,$A$1,BV_Data_An_Cour!$V:$V,$A25)</f>
        <v>140</v>
      </c>
      <c r="C25" s="460"/>
      <c r="D25" s="10" t="s">
        <v>42</v>
      </c>
      <c r="E25" s="487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7">
        <f>SUMIFS(BV_Data_An_Cour!$P:$P,BV_Data_An_Cour!$U:$U,$A$1,BV_Data_An_Cour!$V:$V,$A26)</f>
        <v>53277.39</v>
      </c>
      <c r="C26" s="460"/>
      <c r="D26" s="10" t="s">
        <v>42</v>
      </c>
      <c r="E26" s="487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7">
        <f>SUMIFS(BV_Data_An_Cour!$P:$P,BV_Data_An_Cour!$U:$U,$A$1,BV_Data_An_Cour!$V:$V,$A27)</f>
        <v>0</v>
      </c>
      <c r="C27" s="460"/>
      <c r="D27" s="10" t="s">
        <v>42</v>
      </c>
      <c r="E27" s="487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7">
        <f>SUMIFS(BV_Data_An_Cour!$P:$P,BV_Data_An_Cour!$U:$U,$A$1,BV_Data_An_Cour!$V:$V,$A28)</f>
        <v>0</v>
      </c>
      <c r="C28" s="460"/>
      <c r="D28" s="9" t="s">
        <v>44</v>
      </c>
      <c r="E28" s="492">
        <f>SUM(E22:E24)</f>
        <v>409448.06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7">
        <f>SUMIFS(BV_Data_An_Cour!$P:$P,BV_Data_An_Cour!$U:$U,$A$1,BV_Data_An_Cour!$V:$V,$A29)</f>
        <v>0</v>
      </c>
      <c r="C29" s="460"/>
      <c r="D29" s="10"/>
      <c r="E29" s="48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0">
        <f>SUM(B23:B29)</f>
        <v>56361.53</v>
      </c>
      <c r="C30" s="461"/>
      <c r="D30" s="12" t="s">
        <v>46</v>
      </c>
      <c r="E30" s="488">
        <f>+E5+E7+E16+E20+E28</f>
        <v>8948286.2799999993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7"/>
      <c r="C31" s="460"/>
      <c r="D31" s="13"/>
      <c r="E31" s="48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8">
        <f>+B6+B16+B21+B30</f>
        <v>10579978.699999999</v>
      </c>
      <c r="C32" s="462"/>
      <c r="D32" s="14"/>
      <c r="E32" s="48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9"/>
      <c r="C33" s="463"/>
      <c r="D33" s="9" t="s">
        <v>48</v>
      </c>
      <c r="E33" s="1267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7"/>
      <c r="C34" s="460"/>
      <c r="D34" s="10"/>
      <c r="E34" s="48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7">
        <f>SUMIFS(BV_Data_An_Cour!$P:$P,BV_Data_An_Cour!$U:$U,$A$1,BV_Data_An_Cour!$V:$V,$A35)</f>
        <v>0</v>
      </c>
      <c r="C35" s="460"/>
      <c r="D35" s="10" t="s">
        <v>50</v>
      </c>
      <c r="E35" s="487">
        <f>-SUMIFS(BV_Data_An_Cour!$P:$P,BV_Data_An_Cour!$U:$U,$A$1,BV_Data_An_Cour!$V:$V,$D35)</f>
        <v>5807487.8399999999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7">
        <f>SUMIFS(BV_Data_An_Cour!$P:$P,BV_Data_An_Cour!$U:$U,$A$1,BV_Data_An_Cour!$V:$V,$A36)</f>
        <v>0</v>
      </c>
      <c r="C36" s="460"/>
      <c r="D36" s="10" t="s">
        <v>52</v>
      </c>
      <c r="E36" s="487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7">
        <f>SUMIFS(BV_Data_An_Cour!$P:$P,BV_Data_An_Cour!$U:$U,$A$1,BV_Data_An_Cour!$V:$V,$A37)</f>
        <v>0</v>
      </c>
      <c r="C37" s="460"/>
      <c r="D37" s="10" t="s">
        <v>54</v>
      </c>
      <c r="E37" s="487">
        <f>-SUMIFS(BV_Data_An_Cour!$P:$P,BV_Data_An_Cour!$U:$U,$A$1,BV_Data_An_Cour!$V:$V,$D37)</f>
        <v>5700000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7">
        <f>SUMIFS(BV_Data_An_Cour!$P:$P,BV_Data_An_Cour!$U:$U,$A$1,BV_Data_An_Cour!$V:$V,$A38)</f>
        <v>0</v>
      </c>
      <c r="C38" s="460"/>
      <c r="D38" s="10" t="s">
        <v>56</v>
      </c>
      <c r="E38" s="487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7">
        <f>SUMIFS(BV_Data_An_Cour!$P:$P,BV_Data_An_Cour!$U:$U,$A$1,BV_Data_An_Cour!$V:$V,$A39)</f>
        <v>195494.45</v>
      </c>
      <c r="C39" s="460"/>
      <c r="D39" s="10" t="s">
        <v>42</v>
      </c>
      <c r="E39" s="487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7">
        <f>SUMIFS(BV_Data_An_Cour!$P:$P,BV_Data_An_Cour!$U:$U,$A$1,BV_Data_An_Cour!$V:$V,$A40)</f>
        <v>194969.73</v>
      </c>
      <c r="C40" s="460"/>
      <c r="D40" s="10" t="s">
        <v>42</v>
      </c>
      <c r="E40" s="487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7">
        <f>SUMIFS(BV_Data_An_Cour!$P:$P,BV_Data_An_Cour!$U:$U,$A$1,BV_Data_An_Cour!$V:$V,$A41)</f>
        <v>22861.119999999999</v>
      </c>
      <c r="C41" s="460"/>
      <c r="D41" s="10" t="s">
        <v>42</v>
      </c>
      <c r="E41" s="487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7">
        <f>SUMIFS(BV_Data_An_Cour!$P:$P,BV_Data_An_Cour!$U:$U,$A$1,BV_Data_An_Cour!$V:$V,$A42)</f>
        <v>0</v>
      </c>
      <c r="C42" s="460"/>
      <c r="D42" s="12" t="s">
        <v>61</v>
      </c>
      <c r="E42" s="488">
        <f>+SUM(E33:E38)</f>
        <v>11507487.84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7">
        <f>SUMIFS(BV_Data_An_Cour!$P:$P,BV_Data_An_Cour!$U:$U,$A$1,BV_Data_An_Cour!$V:$V,$A43)</f>
        <v>9825.02</v>
      </c>
      <c r="C43" s="460"/>
      <c r="D43" s="13"/>
      <c r="E43" s="48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0">
        <f>SUM(B35:B43)</f>
        <v>423150.32000000007</v>
      </c>
      <c r="C44" s="461"/>
      <c r="D44" s="10"/>
      <c r="E44" s="4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7"/>
      <c r="C45" s="460"/>
      <c r="D45" s="12" t="s">
        <v>64</v>
      </c>
      <c r="E45" s="488">
        <f>+E42+E30</f>
        <v>20455774.119999997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2">
        <f>SUMIFS(BV_Data_An_Cour!$P:$P,BV_Data_An_Cour!$U:$U,$A$1,BV_Data_An_Cour!$V:$V,$A46)</f>
        <v>-90000</v>
      </c>
      <c r="C46" s="461"/>
      <c r="D46" s="13"/>
      <c r="E46" s="48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7"/>
      <c r="C47" s="460"/>
      <c r="D47" s="10"/>
      <c r="E47" s="4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2">
        <f>SUMIFS(BV_Data_An_Cour!$P:$P,BV_Data_An_Cour!$U:$U,$A$1,BV_Data_An_Cour!$V:$V,$A48)</f>
        <v>9500000</v>
      </c>
      <c r="C48" s="461"/>
      <c r="D48" s="10" t="s">
        <v>67</v>
      </c>
      <c r="E48" s="487">
        <f>-SUMIFS(BV_Data_An_Cour!$P:$P,BV_Data_An_Cour!$U:$U,$A$1,BV_Data_An_Cour!$V:$V,$D48)</f>
        <v>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7"/>
      <c r="C49" s="460"/>
      <c r="D49" s="10" t="s">
        <v>68</v>
      </c>
      <c r="E49" s="487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7">
        <f>SUMIFS(BV_Data_An_Cour!$P:$P,BV_Data_An_Cour!$U:$U,$A$1,BV_Data_An_Cour!$V:$V,$A50)</f>
        <v>0</v>
      </c>
      <c r="C50" s="460"/>
      <c r="D50" s="10" t="s">
        <v>69</v>
      </c>
      <c r="E50" s="487">
        <f>-SUMIFS(BV_Data_An_Cour!$P:$P,BV_Data_An_Cour!$U:$U,$A$1,BV_Data_An_Cour!$V:$V,$D50)+Print_AAD!AF502</f>
        <v>-42645.099999999948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7">
        <f>SUMIFS(BV_Data_An_Cour!$P:$P,BV_Data_An_Cour!$U:$U,$A$1,BV_Data_An_Cour!$V:$V,$A51)</f>
        <v>0</v>
      </c>
      <c r="C51" s="460"/>
      <c r="D51" s="10" t="s">
        <v>70</v>
      </c>
      <c r="E51" s="487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7">
        <f>SUMIFS(BV_Data_An_Cour!$P:$P,BV_Data_An_Cour!$U:$U,$A$1,BV_Data_An_Cour!$V:$V,$A52)</f>
        <v>0</v>
      </c>
      <c r="C52" s="460"/>
      <c r="D52" s="16"/>
      <c r="E52" s="49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8">
        <f>+B44+B48+B46</f>
        <v>9833150.3200000003</v>
      </c>
      <c r="C53" s="462"/>
      <c r="D53" s="12" t="s">
        <v>72</v>
      </c>
      <c r="E53" s="488">
        <f>SUM(E48:E51)</f>
        <v>-42645.099999999948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9"/>
      <c r="C54" s="463"/>
      <c r="D54" s="13"/>
      <c r="E54" s="48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7"/>
      <c r="C55" s="460"/>
      <c r="D55" s="14"/>
      <c r="E55" s="4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8">
        <f>+B32+B53</f>
        <v>20413129.02</v>
      </c>
      <c r="C56" s="462"/>
      <c r="D56" s="12" t="s">
        <v>74</v>
      </c>
      <c r="E56" s="488">
        <f>+E53+E45</f>
        <v>20413129.019999996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9"/>
      <c r="C57" s="463"/>
      <c r="D57" s="13"/>
      <c r="E57" s="48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 codeName="Feuil5"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62"/>
    <col min="4" max="4" width="15.75" style="762" bestFit="1" customWidth="1"/>
    <col min="5" max="5" width="11.25" style="763" customWidth="1"/>
    <col min="6" max="6" width="12.125" style="763" bestFit="1" customWidth="1"/>
    <col min="7" max="7" width="20" style="762" bestFit="1" customWidth="1"/>
    <col min="8" max="8" width="11.625" style="762" customWidth="1"/>
    <col min="9" max="11" width="11" style="756"/>
    <col min="12" max="12" width="12.375" style="756" bestFit="1" customWidth="1"/>
    <col min="13" max="16384" width="11" style="756"/>
  </cols>
  <sheetData>
    <row r="1" spans="1:13" ht="15">
      <c r="A1" s="753" t="s">
        <v>2155</v>
      </c>
      <c r="B1" s="753" t="s">
        <v>5</v>
      </c>
      <c r="C1" s="753" t="s">
        <v>2156</v>
      </c>
      <c r="D1" s="753" t="s">
        <v>2157</v>
      </c>
      <c r="E1" s="754" t="s">
        <v>2158</v>
      </c>
      <c r="F1" s="754" t="s">
        <v>2159</v>
      </c>
      <c r="G1" s="753" t="s">
        <v>2160</v>
      </c>
      <c r="H1" s="755" t="s">
        <v>2161</v>
      </c>
      <c r="L1" s="757" t="s">
        <v>2158</v>
      </c>
      <c r="M1" s="757" t="s">
        <v>2159</v>
      </c>
    </row>
    <row r="2" spans="1:13" ht="15">
      <c r="A2" s="758" t="s">
        <v>2555</v>
      </c>
      <c r="B2" s="758" t="s">
        <v>2556</v>
      </c>
      <c r="C2" s="758" t="s">
        <v>2557</v>
      </c>
      <c r="D2" s="758" t="s">
        <v>625</v>
      </c>
      <c r="E2" s="1011">
        <v>65121.87</v>
      </c>
      <c r="F2" s="1011">
        <v>-60905.25</v>
      </c>
      <c r="G2" s="758" t="s">
        <v>2558</v>
      </c>
      <c r="H2" s="759">
        <v>478</v>
      </c>
      <c r="K2" s="757" t="s">
        <v>2162</v>
      </c>
      <c r="L2" s="760">
        <f>+SUM(E2:E10000)</f>
        <v>3938633.3000000003</v>
      </c>
      <c r="M2" s="761">
        <f>+SUM(F2:F10000)</f>
        <v>-3910068.02</v>
      </c>
    </row>
    <row r="3" spans="1:13">
      <c r="A3" s="758" t="s">
        <v>2559</v>
      </c>
      <c r="B3" s="758" t="s">
        <v>2556</v>
      </c>
      <c r="C3" s="758" t="s">
        <v>2557</v>
      </c>
      <c r="D3" s="758" t="s">
        <v>625</v>
      </c>
      <c r="E3" s="1011">
        <v>63963.67</v>
      </c>
      <c r="F3" s="1011"/>
      <c r="G3" s="758" t="s">
        <v>2560</v>
      </c>
      <c r="H3" s="759">
        <v>465</v>
      </c>
      <c r="L3" s="760">
        <f>+COUNT(E2:E10000)</f>
        <v>45</v>
      </c>
    </row>
    <row r="4" spans="1:13">
      <c r="A4" s="758" t="s">
        <v>2561</v>
      </c>
      <c r="B4" s="758" t="s">
        <v>2556</v>
      </c>
      <c r="C4" s="758" t="s">
        <v>2557</v>
      </c>
      <c r="D4" s="758" t="s">
        <v>2562</v>
      </c>
      <c r="E4" s="1011">
        <v>75509.5</v>
      </c>
      <c r="F4" s="1011"/>
      <c r="G4" s="758" t="s">
        <v>2563</v>
      </c>
      <c r="H4" s="759">
        <v>411</v>
      </c>
    </row>
    <row r="5" spans="1:13">
      <c r="A5" s="758" t="s">
        <v>2564</v>
      </c>
      <c r="B5" s="758" t="s">
        <v>2556</v>
      </c>
      <c r="C5" s="758" t="s">
        <v>2565</v>
      </c>
      <c r="D5" s="758" t="s">
        <v>2566</v>
      </c>
      <c r="E5" s="1011">
        <v>84833.61</v>
      </c>
      <c r="F5" s="1011">
        <v>-88452</v>
      </c>
      <c r="G5" s="758" t="s">
        <v>2567</v>
      </c>
      <c r="H5" s="759">
        <v>146</v>
      </c>
    </row>
    <row r="6" spans="1:13">
      <c r="A6" s="758" t="s">
        <v>2568</v>
      </c>
      <c r="B6" s="758" t="s">
        <v>2556</v>
      </c>
      <c r="C6" s="758" t="s">
        <v>2557</v>
      </c>
      <c r="D6" s="758" t="s">
        <v>2569</v>
      </c>
      <c r="E6" s="1011">
        <v>66617.36</v>
      </c>
      <c r="F6" s="1011">
        <v>-69326.25</v>
      </c>
      <c r="G6" s="758" t="s">
        <v>2570</v>
      </c>
      <c r="H6" s="759">
        <v>151</v>
      </c>
    </row>
    <row r="7" spans="1:13">
      <c r="A7" s="758" t="s">
        <v>2571</v>
      </c>
      <c r="B7" s="758" t="s">
        <v>2556</v>
      </c>
      <c r="C7" s="758" t="s">
        <v>2565</v>
      </c>
      <c r="D7" s="758" t="s">
        <v>2566</v>
      </c>
      <c r="E7" s="1011">
        <v>73335.37</v>
      </c>
      <c r="F7" s="1011">
        <v>-69809.25</v>
      </c>
      <c r="G7" s="758" t="s">
        <v>2572</v>
      </c>
      <c r="H7" s="759">
        <v>143</v>
      </c>
    </row>
    <row r="8" spans="1:13">
      <c r="A8" s="758" t="s">
        <v>2573</v>
      </c>
      <c r="B8" s="758" t="s">
        <v>2556</v>
      </c>
      <c r="C8" s="758" t="s">
        <v>2565</v>
      </c>
      <c r="D8" s="758" t="s">
        <v>2574</v>
      </c>
      <c r="E8" s="1011">
        <v>50471.49</v>
      </c>
      <c r="F8" s="1011">
        <v>-50473.5</v>
      </c>
      <c r="G8" s="758" t="s">
        <v>2575</v>
      </c>
      <c r="H8" s="759">
        <v>67</v>
      </c>
    </row>
    <row r="9" spans="1:13">
      <c r="A9" s="758" t="s">
        <v>2576</v>
      </c>
      <c r="B9" s="758" t="s">
        <v>2556</v>
      </c>
      <c r="C9" s="758" t="s">
        <v>2565</v>
      </c>
      <c r="D9" s="758" t="s">
        <v>2574</v>
      </c>
      <c r="E9" s="1011">
        <v>50262.11</v>
      </c>
      <c r="F9" s="1011">
        <v>-52143</v>
      </c>
      <c r="G9" s="758" t="s">
        <v>2577</v>
      </c>
      <c r="H9" s="759">
        <v>58</v>
      </c>
    </row>
    <row r="10" spans="1:13">
      <c r="A10" s="758" t="s">
        <v>2578</v>
      </c>
      <c r="B10" s="758" t="s">
        <v>2579</v>
      </c>
      <c r="C10" s="758" t="s">
        <v>2565</v>
      </c>
      <c r="D10" s="758" t="s">
        <v>2580</v>
      </c>
      <c r="E10" s="1011">
        <v>95266.49</v>
      </c>
      <c r="F10" s="1011">
        <v>-95303.25</v>
      </c>
      <c r="G10" s="758" t="s">
        <v>2581</v>
      </c>
      <c r="H10" s="759">
        <v>158</v>
      </c>
    </row>
    <row r="11" spans="1:13">
      <c r="A11" s="758" t="s">
        <v>2582</v>
      </c>
      <c r="B11" s="758" t="s">
        <v>2579</v>
      </c>
      <c r="C11" s="758" t="s">
        <v>2565</v>
      </c>
      <c r="D11" s="758" t="s">
        <v>2583</v>
      </c>
      <c r="E11" s="1011">
        <v>126612.36</v>
      </c>
      <c r="F11" s="1011">
        <v>-131675.25</v>
      </c>
      <c r="G11" s="758" t="s">
        <v>2584</v>
      </c>
      <c r="H11" s="759">
        <v>149</v>
      </c>
    </row>
    <row r="12" spans="1:13">
      <c r="A12" s="758" t="s">
        <v>2585</v>
      </c>
      <c r="B12" s="758" t="s">
        <v>2579</v>
      </c>
      <c r="C12" s="758" t="s">
        <v>2586</v>
      </c>
      <c r="D12" s="758" t="s">
        <v>2587</v>
      </c>
      <c r="E12" s="1011">
        <v>97633.14</v>
      </c>
      <c r="F12" s="1011">
        <v>-97203.75</v>
      </c>
      <c r="G12" s="758" t="s">
        <v>2588</v>
      </c>
      <c r="H12" s="759">
        <v>152</v>
      </c>
    </row>
    <row r="13" spans="1:13">
      <c r="A13" s="758" t="s">
        <v>2589</v>
      </c>
      <c r="B13" s="758" t="s">
        <v>2579</v>
      </c>
      <c r="C13" s="758" t="s">
        <v>2565</v>
      </c>
      <c r="D13" s="758" t="s">
        <v>2590</v>
      </c>
      <c r="E13" s="1011">
        <v>103328.55</v>
      </c>
      <c r="F13" s="1011">
        <v>-107651.25</v>
      </c>
      <c r="G13" s="758" t="s">
        <v>2591</v>
      </c>
      <c r="H13" s="759">
        <v>144</v>
      </c>
    </row>
    <row r="14" spans="1:13">
      <c r="A14" s="758" t="s">
        <v>2592</v>
      </c>
      <c r="B14" s="758" t="s">
        <v>2579</v>
      </c>
      <c r="C14" s="758" t="s">
        <v>2557</v>
      </c>
      <c r="D14" s="758" t="s">
        <v>2593</v>
      </c>
      <c r="E14" s="1011">
        <v>66533.61</v>
      </c>
      <c r="F14" s="1011">
        <v>-69237</v>
      </c>
      <c r="G14" s="758" t="s">
        <v>2594</v>
      </c>
      <c r="H14" s="759">
        <v>144</v>
      </c>
    </row>
    <row r="15" spans="1:13">
      <c r="A15" s="758" t="s">
        <v>2595</v>
      </c>
      <c r="B15" s="758" t="s">
        <v>2579</v>
      </c>
      <c r="C15" s="758" t="s">
        <v>2586</v>
      </c>
      <c r="D15" s="758" t="s">
        <v>2596</v>
      </c>
      <c r="E15" s="1011">
        <v>159476.47</v>
      </c>
      <c r="F15" s="1011">
        <v>-173664.75</v>
      </c>
      <c r="G15" s="758" t="s">
        <v>2597</v>
      </c>
      <c r="H15" s="759">
        <v>142</v>
      </c>
    </row>
    <row r="16" spans="1:13">
      <c r="A16" s="758" t="s">
        <v>2598</v>
      </c>
      <c r="B16" s="758" t="s">
        <v>2579</v>
      </c>
      <c r="C16" s="758" t="s">
        <v>2557</v>
      </c>
      <c r="D16" s="758" t="s">
        <v>2599</v>
      </c>
      <c r="E16" s="1011">
        <v>62907.21</v>
      </c>
      <c r="F16" s="1011">
        <v>-60149.52</v>
      </c>
      <c r="G16" s="758" t="s">
        <v>2600</v>
      </c>
      <c r="H16" s="759">
        <v>117</v>
      </c>
    </row>
    <row r="17" spans="1:8">
      <c r="A17" s="758" t="s">
        <v>2601</v>
      </c>
      <c r="B17" s="758" t="s">
        <v>2579</v>
      </c>
      <c r="C17" s="758" t="s">
        <v>2557</v>
      </c>
      <c r="D17" s="758" t="s">
        <v>2599</v>
      </c>
      <c r="E17" s="1011">
        <v>68631.759999999995</v>
      </c>
      <c r="F17" s="1011">
        <v>-71326.5</v>
      </c>
      <c r="G17" s="758" t="s">
        <v>2602</v>
      </c>
      <c r="H17" s="759">
        <v>117</v>
      </c>
    </row>
    <row r="18" spans="1:8">
      <c r="A18" s="758" t="s">
        <v>2603</v>
      </c>
      <c r="B18" s="758" t="s">
        <v>2579</v>
      </c>
      <c r="C18" s="758" t="s">
        <v>2557</v>
      </c>
      <c r="D18" s="758" t="s">
        <v>2604</v>
      </c>
      <c r="E18" s="1011">
        <v>100033.61</v>
      </c>
      <c r="F18" s="1011">
        <v>-104328</v>
      </c>
      <c r="G18" s="758" t="s">
        <v>2605</v>
      </c>
      <c r="H18" s="759">
        <v>117</v>
      </c>
    </row>
    <row r="19" spans="1:8">
      <c r="A19" s="758" t="s">
        <v>2606</v>
      </c>
      <c r="B19" s="758" t="s">
        <v>2579</v>
      </c>
      <c r="C19" s="758" t="s">
        <v>2586</v>
      </c>
      <c r="D19" s="758" t="s">
        <v>2607</v>
      </c>
      <c r="E19" s="1011">
        <v>102873.63</v>
      </c>
      <c r="F19" s="1011">
        <v>-107409.75</v>
      </c>
      <c r="G19" s="758" t="s">
        <v>2608</v>
      </c>
      <c r="H19" s="759">
        <v>117</v>
      </c>
    </row>
    <row r="20" spans="1:8">
      <c r="A20" s="758" t="s">
        <v>2609</v>
      </c>
      <c r="B20" s="758" t="s">
        <v>2579</v>
      </c>
      <c r="C20" s="758" t="s">
        <v>2557</v>
      </c>
      <c r="D20" s="758" t="s">
        <v>2610</v>
      </c>
      <c r="E20" s="1011">
        <v>79327.11</v>
      </c>
      <c r="F20" s="1011">
        <v>-82661.25</v>
      </c>
      <c r="G20" s="758" t="s">
        <v>2611</v>
      </c>
      <c r="H20" s="759">
        <v>114</v>
      </c>
    </row>
    <row r="21" spans="1:8">
      <c r="A21" s="758" t="s">
        <v>2612</v>
      </c>
      <c r="B21" s="758" t="s">
        <v>2579</v>
      </c>
      <c r="C21" s="758" t="s">
        <v>2565</v>
      </c>
      <c r="D21" s="758" t="s">
        <v>2566</v>
      </c>
      <c r="E21" s="1011">
        <v>73721.05</v>
      </c>
      <c r="F21" s="1011">
        <v>-72786</v>
      </c>
      <c r="G21" s="758" t="s">
        <v>2613</v>
      </c>
      <c r="H21" s="759">
        <v>101</v>
      </c>
    </row>
    <row r="22" spans="1:8">
      <c r="A22" s="758" t="s">
        <v>2614</v>
      </c>
      <c r="B22" s="758" t="s">
        <v>2579</v>
      </c>
      <c r="C22" s="758" t="s">
        <v>2565</v>
      </c>
      <c r="D22" s="758" t="s">
        <v>2566</v>
      </c>
      <c r="E22" s="1011">
        <v>99958.61</v>
      </c>
      <c r="F22" s="1011">
        <v>-104333.25</v>
      </c>
      <c r="G22" s="758" t="s">
        <v>2615</v>
      </c>
      <c r="H22" s="759">
        <v>93</v>
      </c>
    </row>
    <row r="23" spans="1:8">
      <c r="A23" s="758" t="s">
        <v>2616</v>
      </c>
      <c r="B23" s="758" t="s">
        <v>2579</v>
      </c>
      <c r="C23" s="758" t="s">
        <v>2565</v>
      </c>
      <c r="D23" s="758" t="s">
        <v>2566</v>
      </c>
      <c r="E23" s="1011">
        <v>62153.61</v>
      </c>
      <c r="F23" s="1011">
        <v>-61905</v>
      </c>
      <c r="G23" s="758" t="s">
        <v>2617</v>
      </c>
      <c r="H23" s="759">
        <v>102</v>
      </c>
    </row>
    <row r="24" spans="1:8">
      <c r="A24" s="758" t="s">
        <v>2618</v>
      </c>
      <c r="B24" s="758" t="s">
        <v>2579</v>
      </c>
      <c r="C24" s="758" t="s">
        <v>2565</v>
      </c>
      <c r="D24" s="758" t="s">
        <v>2583</v>
      </c>
      <c r="E24" s="1011">
        <v>131769.5</v>
      </c>
      <c r="F24" s="1011">
        <v>-132239.5</v>
      </c>
      <c r="G24" s="758" t="s">
        <v>2619</v>
      </c>
      <c r="H24" s="759">
        <v>100</v>
      </c>
    </row>
    <row r="25" spans="1:8">
      <c r="A25" s="758" t="s">
        <v>2620</v>
      </c>
      <c r="B25" s="758" t="s">
        <v>2579</v>
      </c>
      <c r="C25" s="758" t="s">
        <v>2557</v>
      </c>
      <c r="D25" s="758" t="s">
        <v>2621</v>
      </c>
      <c r="E25" s="1011">
        <v>150512.10999999999</v>
      </c>
      <c r="F25" s="1011">
        <v>-157405.5</v>
      </c>
      <c r="G25" s="758" t="s">
        <v>2622</v>
      </c>
      <c r="H25" s="759">
        <v>81</v>
      </c>
    </row>
    <row r="26" spans="1:8">
      <c r="A26" s="758" t="s">
        <v>2623</v>
      </c>
      <c r="B26" s="758" t="s">
        <v>2579</v>
      </c>
      <c r="C26" s="758" t="s">
        <v>2557</v>
      </c>
      <c r="D26" s="758" t="s">
        <v>2569</v>
      </c>
      <c r="E26" s="1011">
        <v>59033.61</v>
      </c>
      <c r="F26" s="1011">
        <v>-61362</v>
      </c>
      <c r="G26" s="758" t="s">
        <v>2624</v>
      </c>
      <c r="H26" s="759">
        <v>69</v>
      </c>
    </row>
    <row r="27" spans="1:8">
      <c r="A27" s="758" t="s">
        <v>2625</v>
      </c>
      <c r="B27" s="758" t="s">
        <v>2579</v>
      </c>
      <c r="C27" s="758" t="s">
        <v>2557</v>
      </c>
      <c r="D27" s="758" t="s">
        <v>2599</v>
      </c>
      <c r="E27" s="1011">
        <v>68350.41</v>
      </c>
      <c r="F27" s="1011">
        <v>-68491.5</v>
      </c>
      <c r="G27" s="758" t="s">
        <v>2626</v>
      </c>
      <c r="H27" s="759">
        <v>76</v>
      </c>
    </row>
    <row r="28" spans="1:8">
      <c r="A28" s="758" t="s">
        <v>2627</v>
      </c>
      <c r="B28" s="758" t="s">
        <v>2579</v>
      </c>
      <c r="C28" s="758" t="s">
        <v>2557</v>
      </c>
      <c r="D28" s="758" t="s">
        <v>2599</v>
      </c>
      <c r="E28" s="1011">
        <v>64527.11</v>
      </c>
      <c r="F28" s="1011">
        <v>-67121.25</v>
      </c>
      <c r="G28" s="758" t="s">
        <v>2628</v>
      </c>
      <c r="H28" s="759">
        <v>54</v>
      </c>
    </row>
    <row r="29" spans="1:8">
      <c r="A29" s="758" t="s">
        <v>2629</v>
      </c>
      <c r="B29" s="758" t="s">
        <v>2579</v>
      </c>
      <c r="C29" s="758" t="s">
        <v>2565</v>
      </c>
      <c r="D29" s="758" t="s">
        <v>2583</v>
      </c>
      <c r="E29" s="1011">
        <v>124302.9</v>
      </c>
      <c r="F29" s="1011">
        <v>-129884.5</v>
      </c>
      <c r="G29" s="758" t="s">
        <v>2630</v>
      </c>
      <c r="H29" s="759">
        <v>75</v>
      </c>
    </row>
    <row r="30" spans="1:8">
      <c r="A30" s="758" t="s">
        <v>2631</v>
      </c>
      <c r="B30" s="758" t="s">
        <v>2579</v>
      </c>
      <c r="C30" s="758" t="s">
        <v>2557</v>
      </c>
      <c r="D30" s="758" t="s">
        <v>2593</v>
      </c>
      <c r="E30" s="1011">
        <v>88302.11</v>
      </c>
      <c r="F30" s="1011">
        <v>-92085</v>
      </c>
      <c r="G30" s="758" t="s">
        <v>2632</v>
      </c>
      <c r="H30" s="759">
        <v>62</v>
      </c>
    </row>
    <row r="31" spans="1:8">
      <c r="A31" s="758" t="s">
        <v>2633</v>
      </c>
      <c r="B31" s="758" t="s">
        <v>2579</v>
      </c>
      <c r="C31" s="758" t="s">
        <v>2565</v>
      </c>
      <c r="D31" s="758" t="s">
        <v>2566</v>
      </c>
      <c r="E31" s="1011">
        <v>66086.89</v>
      </c>
      <c r="F31" s="1011">
        <v>-65273.25</v>
      </c>
      <c r="G31" s="758" t="s">
        <v>2634</v>
      </c>
      <c r="H31" s="759">
        <v>44</v>
      </c>
    </row>
    <row r="32" spans="1:8">
      <c r="A32" s="758" t="s">
        <v>2635</v>
      </c>
      <c r="B32" s="758" t="s">
        <v>2579</v>
      </c>
      <c r="C32" s="758" t="s">
        <v>2557</v>
      </c>
      <c r="D32" s="758" t="s">
        <v>2621</v>
      </c>
      <c r="E32" s="1011">
        <v>152133.60999999999</v>
      </c>
      <c r="F32" s="1011">
        <v>-159117</v>
      </c>
      <c r="G32" s="758" t="s">
        <v>2636</v>
      </c>
      <c r="H32" s="759">
        <v>47</v>
      </c>
    </row>
    <row r="33" spans="1:8">
      <c r="A33" s="758" t="s">
        <v>2637</v>
      </c>
      <c r="B33" s="758" t="s">
        <v>2579</v>
      </c>
      <c r="C33" s="758" t="s">
        <v>2565</v>
      </c>
      <c r="D33" s="758" t="s">
        <v>2590</v>
      </c>
      <c r="E33" s="1011">
        <v>102062.11</v>
      </c>
      <c r="F33" s="1011">
        <v>-106533</v>
      </c>
      <c r="G33" s="758" t="s">
        <v>2638</v>
      </c>
      <c r="H33" s="759">
        <v>41</v>
      </c>
    </row>
    <row r="34" spans="1:8">
      <c r="A34" s="758" t="s">
        <v>2639</v>
      </c>
      <c r="B34" s="758" t="s">
        <v>2579</v>
      </c>
      <c r="C34" s="758" t="s">
        <v>2565</v>
      </c>
      <c r="D34" s="758" t="s">
        <v>2518</v>
      </c>
      <c r="E34" s="1011">
        <v>256374.68</v>
      </c>
      <c r="F34" s="1011">
        <v>-260331.75</v>
      </c>
      <c r="G34" s="758" t="s">
        <v>2640</v>
      </c>
      <c r="H34" s="759">
        <v>53</v>
      </c>
    </row>
    <row r="35" spans="1:8">
      <c r="A35" s="758" t="s">
        <v>2641</v>
      </c>
      <c r="B35" s="758" t="s">
        <v>2579</v>
      </c>
      <c r="C35" s="758" t="s">
        <v>2557</v>
      </c>
      <c r="D35" s="758" t="s">
        <v>2599</v>
      </c>
      <c r="E35" s="1011">
        <v>62523.61</v>
      </c>
      <c r="F35" s="1011">
        <v>-65026.5</v>
      </c>
      <c r="G35" s="758" t="s">
        <v>2642</v>
      </c>
      <c r="H35" s="759">
        <v>39</v>
      </c>
    </row>
    <row r="36" spans="1:8">
      <c r="A36" s="758" t="s">
        <v>2643</v>
      </c>
      <c r="B36" s="758" t="s">
        <v>2579</v>
      </c>
      <c r="C36" s="758" t="s">
        <v>2557</v>
      </c>
      <c r="D36" s="758" t="s">
        <v>2644</v>
      </c>
      <c r="E36" s="1011">
        <v>65907.61</v>
      </c>
      <c r="F36" s="1011">
        <v>-64921.5</v>
      </c>
      <c r="G36" s="758" t="s">
        <v>2645</v>
      </c>
      <c r="H36" s="759">
        <v>32</v>
      </c>
    </row>
    <row r="37" spans="1:8">
      <c r="A37" s="758" t="s">
        <v>2646</v>
      </c>
      <c r="B37" s="758" t="s">
        <v>2579</v>
      </c>
      <c r="C37" s="758" t="s">
        <v>2586</v>
      </c>
      <c r="D37" s="758" t="s">
        <v>2647</v>
      </c>
      <c r="E37" s="1011">
        <v>105460</v>
      </c>
      <c r="F37" s="1011">
        <v>-110733</v>
      </c>
      <c r="G37" s="758" t="s">
        <v>2648</v>
      </c>
      <c r="H37" s="759">
        <v>27</v>
      </c>
    </row>
    <row r="38" spans="1:8">
      <c r="A38" s="758" t="s">
        <v>2649</v>
      </c>
      <c r="B38" s="758" t="s">
        <v>2579</v>
      </c>
      <c r="C38" s="758" t="s">
        <v>2565</v>
      </c>
      <c r="D38" s="758" t="s">
        <v>2574</v>
      </c>
      <c r="E38" s="1011">
        <v>50652.37</v>
      </c>
      <c r="F38" s="1011">
        <v>-51161.25</v>
      </c>
      <c r="G38" s="758" t="s">
        <v>2650</v>
      </c>
      <c r="H38" s="759">
        <v>23</v>
      </c>
    </row>
    <row r="39" spans="1:8">
      <c r="A39" s="758" t="s">
        <v>2651</v>
      </c>
      <c r="B39" s="758" t="s">
        <v>2579</v>
      </c>
      <c r="C39" s="758" t="s">
        <v>2565</v>
      </c>
      <c r="D39" s="758" t="s">
        <v>2574</v>
      </c>
      <c r="E39" s="1011">
        <v>52861.87</v>
      </c>
      <c r="F39" s="1011">
        <v>-54873</v>
      </c>
      <c r="G39" s="758" t="s">
        <v>2652</v>
      </c>
      <c r="H39" s="759">
        <v>23</v>
      </c>
    </row>
    <row r="40" spans="1:8">
      <c r="A40" s="758" t="s">
        <v>2653</v>
      </c>
      <c r="B40" s="758" t="s">
        <v>2579</v>
      </c>
      <c r="C40" s="758" t="s">
        <v>2565</v>
      </c>
      <c r="D40" s="758" t="s">
        <v>2566</v>
      </c>
      <c r="E40" s="1011">
        <v>62766.87</v>
      </c>
      <c r="F40" s="1011">
        <v>-65273.25</v>
      </c>
      <c r="G40" s="758" t="s">
        <v>2654</v>
      </c>
      <c r="H40" s="759">
        <v>20</v>
      </c>
    </row>
    <row r="41" spans="1:8">
      <c r="A41" s="758" t="s">
        <v>2655</v>
      </c>
      <c r="B41" s="758" t="s">
        <v>2579</v>
      </c>
      <c r="C41" s="758" t="s">
        <v>2565</v>
      </c>
      <c r="D41" s="758" t="s">
        <v>2566</v>
      </c>
      <c r="E41" s="1011">
        <v>84801.87</v>
      </c>
      <c r="F41" s="1011">
        <v>-88410</v>
      </c>
      <c r="G41" s="758" t="s">
        <v>2656</v>
      </c>
      <c r="H41" s="759">
        <v>20</v>
      </c>
    </row>
    <row r="42" spans="1:8">
      <c r="A42" s="758" t="s">
        <v>2657</v>
      </c>
      <c r="B42" s="758" t="s">
        <v>2579</v>
      </c>
      <c r="C42" s="758" t="s">
        <v>2565</v>
      </c>
      <c r="D42" s="758" t="s">
        <v>2574</v>
      </c>
      <c r="E42" s="1011">
        <v>56811.87</v>
      </c>
      <c r="F42" s="1011">
        <v>-59020.5</v>
      </c>
      <c r="G42" s="758" t="s">
        <v>2658</v>
      </c>
      <c r="H42" s="759">
        <v>20</v>
      </c>
    </row>
    <row r="43" spans="1:8">
      <c r="A43" s="758" t="s">
        <v>2659</v>
      </c>
      <c r="B43" s="758" t="s">
        <v>2579</v>
      </c>
      <c r="C43" s="758" t="s">
        <v>2565</v>
      </c>
      <c r="D43" s="758" t="s">
        <v>2566</v>
      </c>
      <c r="E43" s="1011">
        <v>75685</v>
      </c>
      <c r="F43" s="1011">
        <v>-79469.25</v>
      </c>
      <c r="G43" s="758" t="s">
        <v>2660</v>
      </c>
      <c r="H43" s="759">
        <v>20</v>
      </c>
    </row>
    <row r="44" spans="1:8">
      <c r="A44" s="758" t="s">
        <v>2661</v>
      </c>
      <c r="B44" s="758" t="s">
        <v>2579</v>
      </c>
      <c r="C44" s="758" t="s">
        <v>2565</v>
      </c>
      <c r="D44" s="758" t="s">
        <v>2580</v>
      </c>
      <c r="E44" s="1011">
        <v>101600</v>
      </c>
      <c r="F44" s="1011">
        <v>-106680</v>
      </c>
      <c r="G44" s="758" t="s">
        <v>2662</v>
      </c>
      <c r="H44" s="759">
        <v>9</v>
      </c>
    </row>
    <row r="45" spans="1:8">
      <c r="A45" s="758" t="s">
        <v>2663</v>
      </c>
      <c r="B45" s="758" t="s">
        <v>2579</v>
      </c>
      <c r="C45" s="758" t="s">
        <v>2565</v>
      </c>
      <c r="D45" s="758" t="s">
        <v>2566</v>
      </c>
      <c r="E45" s="1011">
        <v>62165</v>
      </c>
      <c r="F45" s="1011">
        <v>-65273.25</v>
      </c>
      <c r="G45" s="758" t="s">
        <v>2664</v>
      </c>
      <c r="H45" s="759">
        <v>9</v>
      </c>
    </row>
    <row r="46" spans="1:8">
      <c r="A46" s="758" t="s">
        <v>2665</v>
      </c>
      <c r="B46" s="758" t="s">
        <v>2579</v>
      </c>
      <c r="C46" s="758" t="s">
        <v>2565</v>
      </c>
      <c r="D46" s="758" t="s">
        <v>2566</v>
      </c>
      <c r="E46" s="1011">
        <v>65370</v>
      </c>
      <c r="F46" s="1011">
        <v>-68638.5</v>
      </c>
      <c r="G46" s="758" t="s">
        <v>2666</v>
      </c>
      <c r="H46" s="759">
        <v>9</v>
      </c>
    </row>
    <row r="47" spans="1:8">
      <c r="A47" s="758"/>
      <c r="B47" s="758"/>
      <c r="C47" s="758"/>
      <c r="D47" s="758"/>
      <c r="E47" s="1011"/>
      <c r="F47" s="1011"/>
      <c r="G47" s="758"/>
      <c r="H47" s="759"/>
    </row>
    <row r="48" spans="1:8">
      <c r="A48" s="758"/>
      <c r="B48" s="758"/>
      <c r="C48" s="758"/>
      <c r="D48" s="758"/>
      <c r="E48" s="1011"/>
      <c r="F48" s="1011"/>
      <c r="G48" s="758"/>
      <c r="H48" s="759"/>
    </row>
    <row r="49" spans="1:8">
      <c r="A49" s="758"/>
      <c r="B49" s="758"/>
      <c r="C49" s="758"/>
      <c r="D49" s="758"/>
      <c r="E49" s="1011"/>
      <c r="F49" s="1011"/>
      <c r="G49" s="758"/>
      <c r="H49" s="759"/>
    </row>
    <row r="50" spans="1:8">
      <c r="A50" s="758"/>
      <c r="B50" s="758"/>
      <c r="C50" s="758"/>
      <c r="D50" s="758"/>
      <c r="E50" s="1011"/>
      <c r="F50" s="1011"/>
      <c r="G50" s="758"/>
      <c r="H50" s="759"/>
    </row>
    <row r="51" spans="1:8">
      <c r="A51" s="758"/>
      <c r="B51" s="758"/>
      <c r="C51" s="758"/>
      <c r="D51" s="758"/>
      <c r="E51" s="1011"/>
      <c r="F51" s="1011"/>
      <c r="G51" s="758"/>
      <c r="H51" s="759"/>
    </row>
    <row r="52" spans="1:8">
      <c r="A52" s="758"/>
      <c r="B52" s="758"/>
      <c r="C52" s="758"/>
      <c r="D52" s="758"/>
      <c r="E52" s="1011"/>
      <c r="F52" s="1011"/>
      <c r="G52" s="758"/>
      <c r="H52" s="759"/>
    </row>
    <row r="53" spans="1:8">
      <c r="A53" s="758"/>
      <c r="B53" s="758"/>
      <c r="C53" s="758"/>
      <c r="D53" s="758"/>
      <c r="E53" s="1011"/>
      <c r="F53" s="1011"/>
      <c r="G53" s="758"/>
      <c r="H53" s="759"/>
    </row>
    <row r="54" spans="1:8">
      <c r="A54" s="758"/>
      <c r="B54" s="758"/>
      <c r="C54" s="758"/>
      <c r="D54" s="758"/>
      <c r="E54" s="1011"/>
      <c r="F54" s="1011"/>
      <c r="G54" s="758"/>
      <c r="H54" s="759"/>
    </row>
    <row r="55" spans="1:8">
      <c r="A55" s="758"/>
      <c r="B55" s="758"/>
      <c r="C55" s="758"/>
      <c r="D55" s="758"/>
      <c r="E55" s="1011"/>
      <c r="F55" s="1011"/>
      <c r="G55" s="758"/>
      <c r="H55" s="759"/>
    </row>
    <row r="56" spans="1:8">
      <c r="A56" s="758"/>
      <c r="B56" s="758"/>
      <c r="C56" s="758"/>
      <c r="D56" s="758"/>
      <c r="E56" s="1011"/>
      <c r="F56" s="1011"/>
      <c r="G56" s="758"/>
      <c r="H56" s="759"/>
    </row>
    <row r="57" spans="1:8">
      <c r="A57" s="758"/>
      <c r="B57" s="758"/>
      <c r="C57" s="758"/>
      <c r="D57" s="758"/>
      <c r="E57" s="1011"/>
      <c r="F57" s="1011"/>
      <c r="G57" s="758"/>
      <c r="H57" s="759"/>
    </row>
    <row r="58" spans="1:8">
      <c r="A58" s="758"/>
      <c r="B58" s="758"/>
      <c r="C58" s="758"/>
      <c r="D58" s="758"/>
      <c r="E58" s="1011"/>
      <c r="F58" s="1011"/>
      <c r="G58" s="758"/>
      <c r="H58" s="759"/>
    </row>
    <row r="59" spans="1:8">
      <c r="A59" s="758"/>
      <c r="B59" s="758"/>
      <c r="C59" s="758"/>
      <c r="D59" s="758"/>
      <c r="E59" s="1011"/>
      <c r="F59" s="1011"/>
      <c r="G59" s="758"/>
      <c r="H59" s="759"/>
    </row>
    <row r="60" spans="1:8">
      <c r="A60" s="758"/>
      <c r="B60" s="758"/>
      <c r="C60" s="758"/>
      <c r="D60" s="758"/>
      <c r="E60" s="1011"/>
      <c r="F60" s="1011"/>
      <c r="G60" s="758"/>
      <c r="H60" s="759"/>
    </row>
    <row r="61" spans="1:8">
      <c r="A61" s="758"/>
      <c r="B61" s="758"/>
      <c r="C61" s="758"/>
      <c r="D61" s="758"/>
      <c r="E61" s="1011"/>
      <c r="F61" s="1011"/>
      <c r="G61" s="758"/>
      <c r="H61" s="759"/>
    </row>
    <row r="62" spans="1:8">
      <c r="A62" s="758"/>
      <c r="B62" s="758"/>
      <c r="C62" s="758"/>
      <c r="D62" s="758"/>
      <c r="E62" s="1011"/>
      <c r="F62" s="1011"/>
      <c r="G62" s="758"/>
      <c r="H62" s="759"/>
    </row>
    <row r="63" spans="1:8">
      <c r="A63" s="758"/>
      <c r="B63" s="758"/>
      <c r="C63" s="758"/>
      <c r="D63" s="758"/>
      <c r="E63" s="1011"/>
      <c r="F63" s="1011"/>
      <c r="G63" s="758"/>
      <c r="H63" s="759"/>
    </row>
    <row r="64" spans="1:8">
      <c r="A64" s="758"/>
      <c r="B64" s="758"/>
      <c r="C64" s="758"/>
      <c r="D64" s="758"/>
      <c r="E64" s="1011"/>
      <c r="F64" s="1011"/>
      <c r="G64" s="758"/>
      <c r="H64" s="759"/>
    </row>
    <row r="65" spans="1:8">
      <c r="A65" s="758"/>
      <c r="B65" s="758"/>
      <c r="C65" s="758"/>
      <c r="D65" s="758"/>
      <c r="E65" s="1011"/>
      <c r="F65" s="1011"/>
      <c r="G65" s="758"/>
      <c r="H65" s="759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 codeName="Feuil6"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62"/>
    <col min="4" max="4" width="23.5" style="762" bestFit="1" customWidth="1"/>
    <col min="5" max="5" width="11.125" style="763" bestFit="1" customWidth="1"/>
    <col min="6" max="6" width="8.875" style="763" customWidth="1"/>
    <col min="7" max="7" width="22.125" style="762" bestFit="1" customWidth="1"/>
    <col min="8" max="8" width="11" style="762"/>
    <col min="9" max="16384" width="11" style="756"/>
  </cols>
  <sheetData>
    <row r="1" spans="1:13" ht="15">
      <c r="A1" s="753" t="s">
        <v>2155</v>
      </c>
      <c r="B1" s="753" t="s">
        <v>5</v>
      </c>
      <c r="C1" s="753" t="s">
        <v>2156</v>
      </c>
      <c r="D1" s="753" t="s">
        <v>254</v>
      </c>
      <c r="E1" s="754" t="s">
        <v>2163</v>
      </c>
      <c r="F1" s="754" t="s">
        <v>2164</v>
      </c>
      <c r="G1" s="753" t="s">
        <v>2160</v>
      </c>
      <c r="H1" s="755" t="s">
        <v>2161</v>
      </c>
      <c r="L1" s="757" t="s">
        <v>2158</v>
      </c>
      <c r="M1" s="757" t="s">
        <v>2159</v>
      </c>
    </row>
    <row r="2" spans="1:13" ht="15">
      <c r="A2" s="758" t="s">
        <v>2667</v>
      </c>
      <c r="B2" s="762">
        <v>2004</v>
      </c>
      <c r="C2" s="758" t="s">
        <v>2668</v>
      </c>
      <c r="D2" s="758" t="s">
        <v>2669</v>
      </c>
      <c r="E2" s="1011">
        <v>3856.45</v>
      </c>
      <c r="F2" s="1011"/>
      <c r="G2" s="758" t="s">
        <v>2670</v>
      </c>
      <c r="H2" s="759">
        <v>1482</v>
      </c>
      <c r="K2" s="757" t="s">
        <v>2162</v>
      </c>
      <c r="L2" s="760">
        <f>+SUM(E2:E9999)</f>
        <v>1972155.4199999997</v>
      </c>
      <c r="M2" s="761">
        <f>+SUM(F2:F9999)</f>
        <v>-1357394.5799999996</v>
      </c>
    </row>
    <row r="3" spans="1:13">
      <c r="A3" s="758" t="s">
        <v>2671</v>
      </c>
      <c r="B3" s="762">
        <v>2022</v>
      </c>
      <c r="C3" s="758" t="s">
        <v>2557</v>
      </c>
      <c r="D3" s="758" t="s">
        <v>2672</v>
      </c>
      <c r="E3" s="1011">
        <v>75917.210000000006</v>
      </c>
      <c r="F3" s="1011">
        <v>-50220</v>
      </c>
      <c r="G3" s="758" t="s">
        <v>2673</v>
      </c>
      <c r="H3" s="759">
        <v>490</v>
      </c>
      <c r="L3" s="760">
        <f>+COUNT(E2:E10000)</f>
        <v>50</v>
      </c>
    </row>
    <row r="4" spans="1:13">
      <c r="A4" s="762" t="s">
        <v>2674</v>
      </c>
      <c r="B4" s="762">
        <v>2021</v>
      </c>
      <c r="C4" s="762" t="s">
        <v>2565</v>
      </c>
      <c r="D4" s="762" t="s">
        <v>2580</v>
      </c>
      <c r="E4" s="763">
        <v>75668.81</v>
      </c>
      <c r="F4" s="763">
        <v>-55025</v>
      </c>
      <c r="G4" s="762" t="s">
        <v>2675</v>
      </c>
      <c r="H4" s="762">
        <v>306</v>
      </c>
    </row>
    <row r="5" spans="1:13">
      <c r="A5" s="758" t="s">
        <v>2676</v>
      </c>
      <c r="B5" s="762">
        <v>2019</v>
      </c>
      <c r="C5" s="758" t="s">
        <v>2557</v>
      </c>
      <c r="D5" s="758" t="s">
        <v>2677</v>
      </c>
      <c r="E5" s="1011">
        <v>61477.55</v>
      </c>
      <c r="F5" s="1011">
        <v>-55037.5</v>
      </c>
      <c r="G5" s="758" t="s">
        <v>2678</v>
      </c>
      <c r="H5" s="759">
        <v>235</v>
      </c>
    </row>
    <row r="6" spans="1:13">
      <c r="A6" s="758" t="s">
        <v>2679</v>
      </c>
      <c r="B6" s="762">
        <v>2021</v>
      </c>
      <c r="C6" s="758" t="s">
        <v>2680</v>
      </c>
      <c r="D6" s="758" t="s">
        <v>2681</v>
      </c>
      <c r="E6" s="1011">
        <v>57247.58</v>
      </c>
      <c r="F6" s="1011">
        <v>-48210.15</v>
      </c>
      <c r="G6" s="758" t="s">
        <v>2682</v>
      </c>
      <c r="H6" s="759">
        <v>144</v>
      </c>
    </row>
    <row r="7" spans="1:13">
      <c r="A7" s="762" t="s">
        <v>2683</v>
      </c>
      <c r="B7" s="762">
        <v>2023</v>
      </c>
      <c r="C7" s="762" t="s">
        <v>2565</v>
      </c>
      <c r="D7" s="762" t="s">
        <v>2574</v>
      </c>
      <c r="E7" s="763">
        <v>51697.81</v>
      </c>
      <c r="F7" s="763">
        <v>-49599.39</v>
      </c>
      <c r="G7" s="762" t="s">
        <v>2684</v>
      </c>
      <c r="H7" s="762">
        <v>137</v>
      </c>
    </row>
    <row r="8" spans="1:13">
      <c r="A8" s="758" t="s">
        <v>2685</v>
      </c>
      <c r="B8" s="762">
        <v>2020</v>
      </c>
      <c r="C8" s="758" t="s">
        <v>2686</v>
      </c>
      <c r="D8" s="758" t="s">
        <v>2687</v>
      </c>
      <c r="E8" s="1011">
        <v>35295.85</v>
      </c>
      <c r="F8" s="1011">
        <v>-20589.759999999998</v>
      </c>
      <c r="G8" s="758" t="s">
        <v>2688</v>
      </c>
      <c r="H8" s="759">
        <v>125</v>
      </c>
    </row>
    <row r="9" spans="1:13">
      <c r="A9" s="758" t="s">
        <v>2689</v>
      </c>
      <c r="B9" s="762">
        <v>2019</v>
      </c>
      <c r="C9" s="758" t="s">
        <v>2557</v>
      </c>
      <c r="D9" s="758" t="s">
        <v>2690</v>
      </c>
      <c r="E9" s="1011">
        <v>31287.41</v>
      </c>
      <c r="F9" s="1011">
        <v>-23537.41</v>
      </c>
      <c r="G9" s="758" t="s">
        <v>2691</v>
      </c>
      <c r="H9" s="759">
        <v>111</v>
      </c>
    </row>
    <row r="10" spans="1:13">
      <c r="A10" s="762" t="s">
        <v>2692</v>
      </c>
      <c r="B10" s="762">
        <v>2022</v>
      </c>
      <c r="C10" s="762" t="s">
        <v>2693</v>
      </c>
      <c r="D10" s="762" t="s">
        <v>2694</v>
      </c>
      <c r="E10" s="763">
        <v>58424.95</v>
      </c>
      <c r="F10" s="763">
        <v>-80500</v>
      </c>
      <c r="G10" s="762" t="s">
        <v>2695</v>
      </c>
      <c r="H10" s="762">
        <v>108</v>
      </c>
    </row>
    <row r="11" spans="1:13">
      <c r="A11" s="758" t="s">
        <v>2696</v>
      </c>
      <c r="B11" s="762">
        <v>2020</v>
      </c>
      <c r="C11" s="758" t="s">
        <v>2565</v>
      </c>
      <c r="D11" s="758" t="s">
        <v>2566</v>
      </c>
      <c r="E11" s="1011">
        <v>30904.85</v>
      </c>
      <c r="F11" s="1011">
        <v>-21000</v>
      </c>
      <c r="G11" s="758" t="s">
        <v>2697</v>
      </c>
      <c r="H11" s="759">
        <v>103</v>
      </c>
    </row>
    <row r="12" spans="1:13">
      <c r="A12" s="762" t="s">
        <v>2698</v>
      </c>
      <c r="B12" s="762">
        <v>2023</v>
      </c>
      <c r="C12" s="762" t="s">
        <v>2699</v>
      </c>
      <c r="D12" s="762" t="s">
        <v>2700</v>
      </c>
      <c r="E12" s="763">
        <v>34707.449999999997</v>
      </c>
      <c r="F12" s="763">
        <v>-32060.23</v>
      </c>
      <c r="G12" s="762" t="s">
        <v>2701</v>
      </c>
      <c r="H12" s="762">
        <v>73</v>
      </c>
    </row>
    <row r="13" spans="1:13">
      <c r="A13" s="758" t="s">
        <v>2702</v>
      </c>
      <c r="B13" s="762">
        <v>2023</v>
      </c>
      <c r="C13" s="758" t="s">
        <v>2557</v>
      </c>
      <c r="D13" s="758" t="s">
        <v>2690</v>
      </c>
      <c r="E13" s="1011">
        <v>54482.17</v>
      </c>
      <c r="F13" s="1011">
        <v>-37837.25</v>
      </c>
      <c r="G13" s="758" t="s">
        <v>2703</v>
      </c>
      <c r="H13" s="759">
        <v>72</v>
      </c>
    </row>
    <row r="14" spans="1:13">
      <c r="A14" s="762" t="s">
        <v>2704</v>
      </c>
      <c r="B14" s="762">
        <v>2023</v>
      </c>
      <c r="C14" s="762" t="s">
        <v>2557</v>
      </c>
      <c r="D14" s="762" t="s">
        <v>2705</v>
      </c>
      <c r="E14" s="763">
        <v>65103.95</v>
      </c>
      <c r="F14" s="763">
        <v>-45150</v>
      </c>
      <c r="G14" s="762" t="s">
        <v>2706</v>
      </c>
      <c r="H14" s="762">
        <v>72</v>
      </c>
    </row>
    <row r="15" spans="1:13">
      <c r="A15" s="758" t="s">
        <v>2707</v>
      </c>
      <c r="B15" s="762">
        <v>2023</v>
      </c>
      <c r="C15" s="758" t="s">
        <v>2708</v>
      </c>
      <c r="D15" s="758" t="s">
        <v>2709</v>
      </c>
      <c r="E15" s="1011">
        <v>39059.949999999997</v>
      </c>
      <c r="F15" s="1011">
        <v>-35100</v>
      </c>
      <c r="G15" s="758" t="s">
        <v>2710</v>
      </c>
      <c r="H15" s="759">
        <v>67</v>
      </c>
    </row>
    <row r="16" spans="1:13">
      <c r="A16" s="758" t="s">
        <v>2711</v>
      </c>
      <c r="B16" s="762">
        <v>2020</v>
      </c>
      <c r="C16" s="758" t="s">
        <v>2557</v>
      </c>
      <c r="D16" s="758" t="s">
        <v>2712</v>
      </c>
      <c r="E16" s="1011">
        <v>31103.95</v>
      </c>
      <c r="F16" s="1011">
        <v>-18670.48</v>
      </c>
      <c r="G16" s="758" t="s">
        <v>2713</v>
      </c>
      <c r="H16" s="759">
        <v>62</v>
      </c>
    </row>
    <row r="17" spans="1:8">
      <c r="A17" s="758" t="s">
        <v>2714</v>
      </c>
      <c r="B17" s="762">
        <v>2021</v>
      </c>
      <c r="C17" s="758" t="s">
        <v>2565</v>
      </c>
      <c r="D17" s="758" t="s">
        <v>2566</v>
      </c>
      <c r="E17" s="1011">
        <v>48103.95</v>
      </c>
      <c r="F17" s="1011">
        <v>-32577.98</v>
      </c>
      <c r="G17" s="758" t="s">
        <v>2715</v>
      </c>
      <c r="H17" s="759">
        <v>62</v>
      </c>
    </row>
    <row r="18" spans="1:8">
      <c r="A18" s="758" t="s">
        <v>2716</v>
      </c>
      <c r="B18" s="762">
        <v>2021</v>
      </c>
      <c r="C18" s="758" t="s">
        <v>2557</v>
      </c>
      <c r="D18" s="758" t="s">
        <v>2717</v>
      </c>
      <c r="E18" s="1011">
        <v>37745.550000000003</v>
      </c>
      <c r="F18" s="1011">
        <v>-23564.68</v>
      </c>
      <c r="G18" s="758" t="s">
        <v>2718</v>
      </c>
      <c r="H18" s="759">
        <v>61</v>
      </c>
    </row>
    <row r="19" spans="1:8">
      <c r="A19" s="758" t="s">
        <v>2719</v>
      </c>
      <c r="B19" s="762">
        <v>2024</v>
      </c>
      <c r="C19" s="758" t="s">
        <v>2557</v>
      </c>
      <c r="D19" s="758" t="s">
        <v>2720</v>
      </c>
      <c r="E19" s="1011">
        <v>70066.3</v>
      </c>
      <c r="F19" s="1011">
        <v>-68000</v>
      </c>
      <c r="G19" s="758" t="s">
        <v>2721</v>
      </c>
      <c r="H19" s="759">
        <v>59</v>
      </c>
    </row>
    <row r="20" spans="1:8">
      <c r="A20" s="758" t="s">
        <v>2722</v>
      </c>
      <c r="B20" s="762">
        <v>2019</v>
      </c>
      <c r="C20" s="758" t="s">
        <v>2557</v>
      </c>
      <c r="D20" s="758" t="s">
        <v>2723</v>
      </c>
      <c r="E20" s="1011">
        <v>38003.4</v>
      </c>
      <c r="F20" s="1011">
        <v>-33300</v>
      </c>
      <c r="G20" s="758" t="s">
        <v>2724</v>
      </c>
      <c r="H20" s="759">
        <v>59</v>
      </c>
    </row>
    <row r="21" spans="1:8">
      <c r="A21" s="758" t="s">
        <v>2725</v>
      </c>
      <c r="B21" s="762">
        <v>2021</v>
      </c>
      <c r="C21" s="758" t="s">
        <v>2557</v>
      </c>
      <c r="D21" s="758" t="s">
        <v>2726</v>
      </c>
      <c r="E21" s="1011">
        <v>41692.78</v>
      </c>
      <c r="F21" s="1011">
        <v>-36900</v>
      </c>
      <c r="G21" s="758" t="s">
        <v>2727</v>
      </c>
      <c r="H21" s="759">
        <v>59</v>
      </c>
    </row>
    <row r="22" spans="1:8">
      <c r="A22" s="762" t="s">
        <v>2728</v>
      </c>
      <c r="B22" s="762">
        <v>2022</v>
      </c>
      <c r="C22" s="762" t="s">
        <v>2729</v>
      </c>
      <c r="D22" s="762" t="s">
        <v>2730</v>
      </c>
      <c r="E22" s="763">
        <v>31627.25</v>
      </c>
      <c r="F22" s="763">
        <v>-30500</v>
      </c>
      <c r="G22" s="762" t="s">
        <v>2731</v>
      </c>
      <c r="H22" s="762">
        <v>52</v>
      </c>
    </row>
    <row r="23" spans="1:8">
      <c r="A23" s="758" t="s">
        <v>2732</v>
      </c>
      <c r="B23" s="762">
        <v>2023</v>
      </c>
      <c r="C23" s="758" t="s">
        <v>2733</v>
      </c>
      <c r="D23" s="758" t="s">
        <v>2734</v>
      </c>
      <c r="E23" s="1011">
        <v>53380.08</v>
      </c>
      <c r="F23" s="1011">
        <v>-51800</v>
      </c>
      <c r="G23" s="758" t="s">
        <v>2735</v>
      </c>
      <c r="H23" s="759">
        <v>52</v>
      </c>
    </row>
    <row r="24" spans="1:8">
      <c r="A24" s="762" t="s">
        <v>2736</v>
      </c>
      <c r="B24" s="762">
        <v>2022</v>
      </c>
      <c r="C24" s="762" t="s">
        <v>2565</v>
      </c>
      <c r="D24" s="762" t="s">
        <v>2566</v>
      </c>
      <c r="E24" s="763">
        <v>62091.35</v>
      </c>
      <c r="F24" s="763">
        <v>-43050</v>
      </c>
      <c r="G24" s="762" t="s">
        <v>2737</v>
      </c>
      <c r="H24" s="762">
        <v>46</v>
      </c>
    </row>
    <row r="25" spans="1:8">
      <c r="A25" s="762" t="s">
        <v>2738</v>
      </c>
      <c r="B25" s="762">
        <v>2020</v>
      </c>
      <c r="C25" s="762" t="s">
        <v>2565</v>
      </c>
      <c r="D25" s="762" t="s">
        <v>2566</v>
      </c>
      <c r="E25" s="763">
        <v>36074.949999999997</v>
      </c>
      <c r="F25" s="763">
        <v>-24850</v>
      </c>
      <c r="G25" s="762" t="s">
        <v>2739</v>
      </c>
      <c r="H25" s="762">
        <v>39</v>
      </c>
    </row>
    <row r="26" spans="1:8">
      <c r="A26" s="758" t="s">
        <v>2740</v>
      </c>
      <c r="B26" s="762">
        <v>2020</v>
      </c>
      <c r="C26" s="758" t="s">
        <v>2557</v>
      </c>
      <c r="D26" s="758" t="s">
        <v>2720</v>
      </c>
      <c r="E26" s="1011">
        <v>32831.39</v>
      </c>
      <c r="F26" s="1011">
        <v>-18652.5</v>
      </c>
      <c r="G26" s="758" t="s">
        <v>2741</v>
      </c>
      <c r="H26" s="759">
        <v>39</v>
      </c>
    </row>
    <row r="27" spans="1:8">
      <c r="A27" s="758" t="s">
        <v>2742</v>
      </c>
      <c r="B27" s="762">
        <v>2018</v>
      </c>
      <c r="C27" s="758" t="s">
        <v>2565</v>
      </c>
      <c r="D27" s="758" t="s">
        <v>2566</v>
      </c>
      <c r="E27" s="1011">
        <v>23195</v>
      </c>
      <c r="F27" s="1011">
        <v>-19530</v>
      </c>
      <c r="G27" s="758" t="s">
        <v>2743</v>
      </c>
      <c r="H27" s="759">
        <v>38</v>
      </c>
    </row>
    <row r="28" spans="1:8">
      <c r="A28" s="758" t="s">
        <v>2744</v>
      </c>
      <c r="B28" s="762">
        <v>2021</v>
      </c>
      <c r="C28" s="758" t="s">
        <v>2708</v>
      </c>
      <c r="D28" s="758" t="s">
        <v>2745</v>
      </c>
      <c r="E28" s="1011">
        <v>39793.949999999997</v>
      </c>
      <c r="F28" s="1011">
        <v>-35550</v>
      </c>
      <c r="G28" s="758" t="s">
        <v>2746</v>
      </c>
      <c r="H28" s="759">
        <v>38</v>
      </c>
    </row>
    <row r="29" spans="1:8">
      <c r="A29" s="758" t="s">
        <v>2747</v>
      </c>
      <c r="B29" s="762">
        <v>2015</v>
      </c>
      <c r="C29" s="758" t="s">
        <v>2686</v>
      </c>
      <c r="D29" s="758" t="s">
        <v>2748</v>
      </c>
      <c r="E29" s="1011">
        <v>8000</v>
      </c>
      <c r="F29" s="1011"/>
      <c r="G29" s="758" t="s">
        <v>2749</v>
      </c>
      <c r="H29" s="759">
        <v>38</v>
      </c>
    </row>
    <row r="30" spans="1:8">
      <c r="A30" s="758" t="s">
        <v>2750</v>
      </c>
      <c r="B30" s="762">
        <v>2021</v>
      </c>
      <c r="C30" s="758" t="s">
        <v>2680</v>
      </c>
      <c r="D30" s="758" t="s">
        <v>2751</v>
      </c>
      <c r="E30" s="1011">
        <v>43899.95</v>
      </c>
      <c r="F30" s="1011">
        <v>-30450</v>
      </c>
      <c r="G30" s="758" t="s">
        <v>2752</v>
      </c>
      <c r="H30" s="759">
        <v>37</v>
      </c>
    </row>
    <row r="31" spans="1:8">
      <c r="A31" s="762" t="s">
        <v>2753</v>
      </c>
      <c r="B31" s="762">
        <v>2023</v>
      </c>
      <c r="C31" s="762" t="s">
        <v>2754</v>
      </c>
      <c r="D31" s="762" t="s">
        <v>2755</v>
      </c>
      <c r="E31" s="763">
        <v>47899.95</v>
      </c>
      <c r="F31" s="763">
        <v>-34300</v>
      </c>
      <c r="G31" s="762" t="s">
        <v>2756</v>
      </c>
      <c r="H31" s="762">
        <v>31</v>
      </c>
    </row>
    <row r="32" spans="1:8">
      <c r="A32" s="758" t="s">
        <v>2757</v>
      </c>
      <c r="B32" s="762">
        <v>2020</v>
      </c>
      <c r="C32" s="758" t="s">
        <v>2557</v>
      </c>
      <c r="D32" s="758" t="s">
        <v>2712</v>
      </c>
      <c r="E32" s="1011">
        <v>29024.85</v>
      </c>
      <c r="F32" s="1011">
        <v>-19599.509999999998</v>
      </c>
      <c r="G32" s="758" t="s">
        <v>2758</v>
      </c>
      <c r="H32" s="759">
        <v>26</v>
      </c>
    </row>
    <row r="33" spans="1:8">
      <c r="A33" s="762" t="s">
        <v>2759</v>
      </c>
      <c r="B33" s="762">
        <v>2014</v>
      </c>
      <c r="C33" s="762" t="s">
        <v>2557</v>
      </c>
      <c r="D33" s="762" t="s">
        <v>2760</v>
      </c>
      <c r="E33" s="763">
        <v>11164.86</v>
      </c>
      <c r="G33" s="762" t="s">
        <v>2761</v>
      </c>
      <c r="H33" s="762">
        <v>22</v>
      </c>
    </row>
    <row r="34" spans="1:8">
      <c r="A34" s="758" t="s">
        <v>2762</v>
      </c>
      <c r="B34" s="762">
        <v>2023</v>
      </c>
      <c r="C34" s="758" t="s">
        <v>2557</v>
      </c>
      <c r="D34" s="758" t="s">
        <v>2763</v>
      </c>
      <c r="E34" s="1011">
        <v>53250.2</v>
      </c>
      <c r="F34" s="1011">
        <v>-52796.25</v>
      </c>
      <c r="G34" s="758" t="s">
        <v>2764</v>
      </c>
      <c r="H34" s="759">
        <v>20</v>
      </c>
    </row>
    <row r="35" spans="1:8">
      <c r="A35" s="758" t="s">
        <v>2765</v>
      </c>
      <c r="B35" s="762">
        <v>2023</v>
      </c>
      <c r="C35" s="758" t="s">
        <v>2557</v>
      </c>
      <c r="D35" s="758" t="s">
        <v>2726</v>
      </c>
      <c r="E35" s="1011">
        <v>42103.5</v>
      </c>
      <c r="F35" s="1011">
        <v>-41658.65</v>
      </c>
      <c r="G35" s="758" t="s">
        <v>2766</v>
      </c>
      <c r="H35" s="759">
        <v>18</v>
      </c>
    </row>
    <row r="36" spans="1:8">
      <c r="A36" s="758" t="s">
        <v>2767</v>
      </c>
      <c r="B36" s="762">
        <v>2017</v>
      </c>
      <c r="C36" s="758" t="s">
        <v>2565</v>
      </c>
      <c r="D36" s="758" t="s">
        <v>2768</v>
      </c>
      <c r="E36" s="1011">
        <v>27407.01</v>
      </c>
      <c r="F36" s="1011">
        <v>-24300</v>
      </c>
      <c r="G36" s="758" t="s">
        <v>2769</v>
      </c>
      <c r="H36" s="759">
        <v>17</v>
      </c>
    </row>
    <row r="37" spans="1:8">
      <c r="A37" s="762" t="s">
        <v>2770</v>
      </c>
      <c r="B37" s="762">
        <v>2023</v>
      </c>
      <c r="C37" s="762" t="s">
        <v>2565</v>
      </c>
      <c r="D37" s="762" t="s">
        <v>2768</v>
      </c>
      <c r="E37" s="763">
        <v>58745</v>
      </c>
      <c r="F37" s="763">
        <v>-45726.94</v>
      </c>
      <c r="G37" s="762" t="s">
        <v>2771</v>
      </c>
      <c r="H37" s="762">
        <v>13</v>
      </c>
    </row>
    <row r="38" spans="1:8">
      <c r="A38" s="762" t="s">
        <v>2772</v>
      </c>
      <c r="B38" s="762">
        <v>2019</v>
      </c>
      <c r="C38" s="762" t="s">
        <v>2773</v>
      </c>
      <c r="D38" s="762" t="s">
        <v>2774</v>
      </c>
      <c r="E38" s="763">
        <v>11000</v>
      </c>
      <c r="F38" s="763">
        <v>-9900</v>
      </c>
      <c r="G38" s="762" t="s">
        <v>2775</v>
      </c>
      <c r="H38" s="762">
        <v>10</v>
      </c>
    </row>
    <row r="39" spans="1:8">
      <c r="A39" s="758" t="s">
        <v>2776</v>
      </c>
      <c r="B39" s="762">
        <v>2019</v>
      </c>
      <c r="C39" s="758" t="s">
        <v>2565</v>
      </c>
      <c r="D39" s="758" t="s">
        <v>2777</v>
      </c>
      <c r="E39" s="1011">
        <v>26995</v>
      </c>
      <c r="F39" s="1011">
        <v>-16020.18</v>
      </c>
      <c r="G39" s="758" t="s">
        <v>2778</v>
      </c>
      <c r="H39" s="759">
        <v>10</v>
      </c>
    </row>
    <row r="40" spans="1:8">
      <c r="A40" s="758" t="s">
        <v>2779</v>
      </c>
      <c r="B40" s="762">
        <v>2021</v>
      </c>
      <c r="C40" s="758" t="s">
        <v>2565</v>
      </c>
      <c r="D40" s="758" t="s">
        <v>2566</v>
      </c>
      <c r="E40" s="1011">
        <v>42500</v>
      </c>
      <c r="F40" s="1011">
        <v>-30072.18</v>
      </c>
      <c r="G40" s="758" t="s">
        <v>2780</v>
      </c>
      <c r="H40" s="759">
        <v>10</v>
      </c>
    </row>
    <row r="41" spans="1:8">
      <c r="A41" s="758" t="s">
        <v>2781</v>
      </c>
      <c r="B41" s="762">
        <v>2023</v>
      </c>
      <c r="C41" s="758" t="s">
        <v>2557</v>
      </c>
      <c r="D41" s="758" t="s">
        <v>2644</v>
      </c>
      <c r="E41" s="1011">
        <v>51776.06</v>
      </c>
      <c r="F41" s="1011">
        <v>-29211.39</v>
      </c>
      <c r="G41" s="758" t="s">
        <v>2782</v>
      </c>
      <c r="H41" s="759">
        <v>10</v>
      </c>
    </row>
    <row r="42" spans="1:8">
      <c r="A42" s="758" t="s">
        <v>2783</v>
      </c>
      <c r="B42" s="762">
        <v>2012</v>
      </c>
      <c r="C42" s="758" t="s">
        <v>2557</v>
      </c>
      <c r="D42" s="758" t="s">
        <v>2604</v>
      </c>
      <c r="E42" s="1011">
        <v>37500</v>
      </c>
      <c r="F42" s="1011"/>
      <c r="G42" s="758" t="s">
        <v>2784</v>
      </c>
      <c r="H42" s="759">
        <v>10</v>
      </c>
    </row>
    <row r="43" spans="1:8">
      <c r="A43" s="758" t="s">
        <v>2785</v>
      </c>
      <c r="B43" s="762">
        <v>2021</v>
      </c>
      <c r="C43" s="758" t="s">
        <v>2786</v>
      </c>
      <c r="D43" s="758" t="s">
        <v>2787</v>
      </c>
      <c r="E43" s="1011">
        <v>32547.15</v>
      </c>
      <c r="F43" s="1011">
        <v>-32547.15</v>
      </c>
      <c r="G43" s="758" t="s">
        <v>2788</v>
      </c>
      <c r="H43" s="759">
        <v>9</v>
      </c>
    </row>
    <row r="44" spans="1:8">
      <c r="A44" s="758" t="s">
        <v>2789</v>
      </c>
      <c r="B44" s="762">
        <v>2017</v>
      </c>
      <c r="C44" s="758" t="s">
        <v>2790</v>
      </c>
      <c r="D44" s="758" t="s">
        <v>2791</v>
      </c>
      <c r="E44" s="1011">
        <v>14000</v>
      </c>
      <c r="F44" s="1011"/>
      <c r="G44" s="758" t="s">
        <v>2792</v>
      </c>
      <c r="H44" s="759">
        <v>9</v>
      </c>
    </row>
    <row r="45" spans="1:8">
      <c r="A45" s="762" t="s">
        <v>2793</v>
      </c>
      <c r="B45" s="762">
        <v>2018</v>
      </c>
      <c r="C45" s="762" t="s">
        <v>2794</v>
      </c>
      <c r="D45" s="762" t="s">
        <v>2795</v>
      </c>
      <c r="E45" s="763">
        <v>18500</v>
      </c>
      <c r="G45" s="762" t="s">
        <v>2796</v>
      </c>
      <c r="H45" s="762">
        <v>3</v>
      </c>
    </row>
    <row r="46" spans="1:8">
      <c r="A46" s="762" t="s">
        <v>2797</v>
      </c>
      <c r="B46" s="762">
        <v>2017</v>
      </c>
      <c r="C46" s="762" t="s">
        <v>2557</v>
      </c>
      <c r="D46" s="762" t="s">
        <v>2712</v>
      </c>
      <c r="E46" s="763">
        <v>28000</v>
      </c>
      <c r="G46" s="762" t="s">
        <v>2798</v>
      </c>
      <c r="H46" s="762">
        <v>3</v>
      </c>
    </row>
    <row r="47" spans="1:8">
      <c r="A47" s="758" t="s">
        <v>2799</v>
      </c>
      <c r="B47" s="762">
        <v>2013</v>
      </c>
      <c r="C47" s="758" t="s">
        <v>2754</v>
      </c>
      <c r="D47" s="758" t="s">
        <v>2800</v>
      </c>
      <c r="E47" s="1011">
        <v>1500</v>
      </c>
      <c r="F47" s="1011"/>
      <c r="G47" s="758" t="s">
        <v>2801</v>
      </c>
      <c r="H47" s="759">
        <v>2</v>
      </c>
    </row>
    <row r="48" spans="1:8">
      <c r="A48" s="758" t="s">
        <v>2802</v>
      </c>
      <c r="B48" s="762">
        <v>2017</v>
      </c>
      <c r="C48" s="758" t="s">
        <v>2557</v>
      </c>
      <c r="D48" s="758" t="s">
        <v>2803</v>
      </c>
      <c r="E48" s="1011">
        <v>37000</v>
      </c>
      <c r="F48" s="1011"/>
      <c r="G48" s="758" t="s">
        <v>2804</v>
      </c>
      <c r="H48" s="759">
        <v>2</v>
      </c>
    </row>
    <row r="49" spans="1:8">
      <c r="A49" s="762" t="s">
        <v>2805</v>
      </c>
      <c r="B49" s="762">
        <v>2022</v>
      </c>
      <c r="C49" s="762" t="s">
        <v>2557</v>
      </c>
      <c r="D49" s="762" t="s">
        <v>2712</v>
      </c>
      <c r="E49" s="763">
        <v>37500</v>
      </c>
      <c r="G49" s="762" t="s">
        <v>2806</v>
      </c>
      <c r="H49" s="762">
        <v>2</v>
      </c>
    </row>
    <row r="50" spans="1:8">
      <c r="A50" s="762" t="s">
        <v>2807</v>
      </c>
      <c r="B50" s="762">
        <v>2021</v>
      </c>
      <c r="C50" s="762" t="s">
        <v>2565</v>
      </c>
      <c r="D50" s="762" t="s">
        <v>2580</v>
      </c>
      <c r="E50" s="763">
        <v>60000</v>
      </c>
      <c r="G50" s="762" t="s">
        <v>2808</v>
      </c>
      <c r="H50" s="762">
        <v>2</v>
      </c>
    </row>
    <row r="51" spans="1:8">
      <c r="A51" s="758" t="s">
        <v>2809</v>
      </c>
      <c r="B51" s="762">
        <v>2019</v>
      </c>
      <c r="C51" s="758" t="s">
        <v>2565</v>
      </c>
      <c r="D51" s="758" t="s">
        <v>2777</v>
      </c>
      <c r="E51" s="1011">
        <v>31000</v>
      </c>
      <c r="F51" s="1011"/>
      <c r="G51" s="758" t="s">
        <v>2810</v>
      </c>
      <c r="H51" s="759">
        <v>0</v>
      </c>
    </row>
    <row r="52" spans="1:8">
      <c r="A52" s="758"/>
      <c r="C52" s="758"/>
      <c r="D52" s="758"/>
      <c r="E52" s="1011"/>
      <c r="F52" s="1011"/>
      <c r="G52" s="758"/>
      <c r="H52" s="759"/>
    </row>
    <row r="54" spans="1:8">
      <c r="A54" s="758"/>
      <c r="C54" s="758"/>
      <c r="D54" s="758"/>
      <c r="E54" s="1011"/>
      <c r="F54" s="1011"/>
      <c r="G54" s="758"/>
      <c r="H54" s="759"/>
    </row>
    <row r="55" spans="1:8">
      <c r="A55" s="758"/>
      <c r="C55" s="758"/>
      <c r="D55" s="758"/>
      <c r="E55" s="1011"/>
      <c r="F55" s="1011"/>
      <c r="G55" s="758"/>
      <c r="H55" s="759"/>
    </row>
    <row r="56" spans="1:8">
      <c r="A56" s="758"/>
      <c r="C56" s="758"/>
      <c r="D56" s="758"/>
      <c r="E56" s="1011"/>
      <c r="F56" s="1011"/>
      <c r="G56" s="758"/>
      <c r="H56" s="759"/>
    </row>
    <row r="57" spans="1:8">
      <c r="A57" s="758"/>
      <c r="C57" s="758"/>
      <c r="D57" s="758"/>
      <c r="E57" s="1011"/>
      <c r="F57" s="1011"/>
      <c r="G57" s="758"/>
      <c r="H57" s="759"/>
    </row>
    <row r="58" spans="1:8">
      <c r="A58" s="758"/>
      <c r="C58" s="758"/>
      <c r="D58" s="758"/>
      <c r="E58" s="1011"/>
      <c r="F58" s="1011"/>
      <c r="G58" s="758"/>
      <c r="H58" s="759"/>
    </row>
    <row r="59" spans="1:8">
      <c r="A59" s="758"/>
      <c r="C59" s="758"/>
      <c r="D59" s="758"/>
      <c r="E59" s="1011"/>
      <c r="F59" s="1011"/>
      <c r="G59" s="758"/>
      <c r="H59" s="759"/>
    </row>
    <row r="61" spans="1:8">
      <c r="A61" s="758"/>
      <c r="C61" s="758"/>
      <c r="D61" s="758"/>
      <c r="E61" s="1011"/>
      <c r="F61" s="1011"/>
      <c r="G61" s="758"/>
      <c r="H61" s="759"/>
    </row>
    <row r="65" spans="1:8">
      <c r="A65" s="758"/>
      <c r="C65" s="758"/>
      <c r="D65" s="758"/>
      <c r="E65" s="1011"/>
      <c r="F65" s="1011"/>
      <c r="G65" s="758"/>
      <c r="H65" s="759"/>
    </row>
    <row r="66" spans="1:8">
      <c r="A66" s="758"/>
      <c r="C66" s="758"/>
      <c r="D66" s="758"/>
      <c r="E66" s="1011"/>
      <c r="F66" s="1011"/>
      <c r="G66" s="758"/>
      <c r="H66" s="759"/>
    </row>
    <row r="67" spans="1:8">
      <c r="A67" s="758"/>
      <c r="C67" s="758"/>
      <c r="D67" s="758"/>
      <c r="E67" s="1011"/>
      <c r="F67" s="1011"/>
      <c r="G67" s="758"/>
      <c r="H67" s="759"/>
    </row>
    <row r="68" spans="1:8">
      <c r="A68" s="758"/>
      <c r="C68" s="758"/>
      <c r="D68" s="758"/>
      <c r="E68" s="1011"/>
      <c r="F68" s="1011"/>
      <c r="G68" s="758"/>
      <c r="H68" s="759"/>
    </row>
    <row r="69" spans="1:8">
      <c r="A69" s="758"/>
      <c r="C69" s="758"/>
      <c r="D69" s="758"/>
      <c r="E69" s="1011"/>
      <c r="F69" s="1011"/>
      <c r="G69" s="758"/>
      <c r="H69" s="759"/>
    </row>
    <row r="70" spans="1:8">
      <c r="A70" s="758"/>
      <c r="C70" s="758"/>
      <c r="D70" s="758"/>
      <c r="E70" s="1011"/>
      <c r="F70" s="1011"/>
      <c r="G70" s="758"/>
      <c r="H70" s="759"/>
    </row>
    <row r="71" spans="1:8">
      <c r="A71" s="758"/>
      <c r="C71" s="758"/>
      <c r="D71" s="758"/>
      <c r="E71" s="1011"/>
      <c r="F71" s="1011"/>
      <c r="G71" s="758"/>
      <c r="H71" s="759"/>
    </row>
    <row r="72" spans="1:8">
      <c r="A72" s="758"/>
      <c r="C72" s="758"/>
      <c r="D72" s="758"/>
      <c r="E72" s="1011"/>
      <c r="F72" s="1011"/>
      <c r="G72" s="758"/>
      <c r="H72" s="759"/>
    </row>
    <row r="73" spans="1:8">
      <c r="A73" s="758"/>
      <c r="C73" s="758"/>
      <c r="D73" s="758"/>
      <c r="E73" s="1011"/>
      <c r="F73" s="1011"/>
      <c r="G73" s="758"/>
      <c r="H73" s="759"/>
    </row>
    <row r="74" spans="1:8">
      <c r="A74" s="758"/>
      <c r="C74" s="758"/>
      <c r="D74" s="758"/>
      <c r="E74" s="1011"/>
      <c r="F74" s="1011"/>
      <c r="G74" s="758"/>
      <c r="H74" s="759"/>
    </row>
    <row r="76" spans="1:8">
      <c r="A76" s="758"/>
      <c r="C76" s="758"/>
      <c r="D76" s="758"/>
      <c r="E76" s="1011"/>
      <c r="F76" s="1011"/>
      <c r="G76" s="758"/>
      <c r="H76" s="759"/>
    </row>
    <row r="77" spans="1:8">
      <c r="A77" s="758"/>
      <c r="C77" s="758"/>
      <c r="D77" s="758"/>
      <c r="E77" s="1011"/>
      <c r="F77" s="1011"/>
      <c r="G77" s="758"/>
      <c r="H77" s="759"/>
    </row>
    <row r="78" spans="1:8">
      <c r="A78" s="758"/>
      <c r="C78" s="758"/>
      <c r="D78" s="758"/>
      <c r="E78" s="1011"/>
      <c r="F78" s="1011"/>
      <c r="G78" s="758"/>
      <c r="H78" s="759"/>
    </row>
    <row r="79" spans="1:8">
      <c r="A79" s="758"/>
      <c r="C79" s="758"/>
      <c r="D79" s="758"/>
      <c r="E79" s="1011"/>
      <c r="F79" s="1011"/>
      <c r="G79" s="758"/>
      <c r="H79" s="759"/>
    </row>
    <row r="80" spans="1:8">
      <c r="A80" s="758"/>
      <c r="C80" s="758"/>
      <c r="D80" s="758"/>
      <c r="E80" s="1011"/>
      <c r="F80" s="1011"/>
      <c r="G80" s="758"/>
      <c r="H80" s="759"/>
    </row>
    <row r="81" spans="1:8">
      <c r="A81" s="758"/>
      <c r="C81" s="758"/>
      <c r="D81" s="758"/>
      <c r="E81" s="1011"/>
      <c r="F81" s="1011"/>
      <c r="G81" s="758"/>
      <c r="H81" s="759"/>
    </row>
    <row r="82" spans="1:8">
      <c r="A82" s="758"/>
      <c r="C82" s="758"/>
      <c r="D82" s="758"/>
      <c r="E82" s="1011"/>
      <c r="F82" s="1011"/>
      <c r="G82" s="758"/>
      <c r="H82" s="759"/>
    </row>
    <row r="83" spans="1:8">
      <c r="A83" s="758"/>
      <c r="C83" s="758"/>
      <c r="D83" s="758"/>
      <c r="E83" s="1011"/>
      <c r="F83" s="1011"/>
      <c r="G83" s="758"/>
      <c r="H83" s="759"/>
    </row>
    <row r="84" spans="1:8">
      <c r="A84" s="758"/>
      <c r="C84" s="758"/>
      <c r="D84" s="758"/>
      <c r="E84" s="1011"/>
      <c r="F84" s="1011"/>
      <c r="G84" s="758"/>
      <c r="H84" s="759"/>
    </row>
    <row r="85" spans="1:8">
      <c r="A85" s="758"/>
      <c r="C85" s="758"/>
      <c r="D85" s="758"/>
      <c r="E85" s="1011"/>
      <c r="F85" s="1011"/>
      <c r="G85" s="758"/>
      <c r="H85" s="759"/>
    </row>
    <row r="86" spans="1:8">
      <c r="A86" s="758"/>
      <c r="C86" s="758"/>
      <c r="D86" s="758"/>
      <c r="E86" s="1011"/>
      <c r="F86" s="1011"/>
      <c r="G86" s="758"/>
      <c r="H86" s="759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04"/>
  <sheetViews>
    <sheetView tabSelected="1" topLeftCell="A106" zoomScale="70" zoomScaleNormal="70" workbookViewId="0">
      <selection activeCell="J100" sqref="J100"/>
    </sheetView>
  </sheetViews>
  <sheetFormatPr baseColWidth="10" defaultColWidth="12.625" defaultRowHeight="16.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12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Décembre 2025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25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</row>
    <row r="3" spans="1:40" ht="21" thickTop="1">
      <c r="B3" s="24"/>
      <c r="C3" s="250"/>
      <c r="D3" s="1279" t="s">
        <v>77</v>
      </c>
      <c r="E3" s="1280"/>
      <c r="F3" s="1281"/>
      <c r="G3" s="1284"/>
      <c r="H3" s="1280"/>
      <c r="I3" s="1281"/>
      <c r="J3" s="1284" t="s">
        <v>78</v>
      </c>
      <c r="K3" s="1280"/>
      <c r="L3" s="1281"/>
      <c r="M3" s="1284" t="s">
        <v>2442</v>
      </c>
      <c r="N3" s="1281"/>
      <c r="O3" s="1279" t="s">
        <v>79</v>
      </c>
      <c r="P3" s="1280"/>
      <c r="Q3" s="1281"/>
      <c r="R3" s="1282" t="s">
        <v>2446</v>
      </c>
      <c r="S3" s="1283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f>+INDEX('Budget original'!$A$2:$AO$501,MATCH($A5,'Budget original'!$A$2:$A$501,0),MATCH(F$2,'Budget original'!$A$2:$AO$2,0))</f>
        <v>1660512.8381089361</v>
      </c>
      <c r="G5" s="278"/>
      <c r="H5" s="367"/>
      <c r="I5" s="543"/>
      <c r="J5" s="278"/>
      <c r="K5" s="184"/>
      <c r="L5" s="177">
        <f>-SUMIFS(BV_Data_An_Cour!$O:$O,BV_Data_An_Cour!$X:$X,"Oui",BV_Data_An_Cour!$U:$U,$B5)</f>
        <v>1337137.3800000001</v>
      </c>
      <c r="M5" s="368"/>
      <c r="N5" s="369"/>
      <c r="O5" s="278"/>
      <c r="P5" s="184"/>
      <c r="Q5" s="177">
        <f t="array" ref="Q5">+INDEX('Réel 2024'!$A$2:$AO$501,MATCH($A5,'Réel 2024'!$A$2:$A$501,0),MATCH(Q$2,'Réel 2024'!$A$2:$AO$2,0))</f>
        <v>2488233.5999999898</v>
      </c>
      <c r="R5" s="368"/>
      <c r="S5" s="370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>
        <f>+INDEX('Budget original'!$A$2:$AO$501,MATCH($A6,'Budget original'!$A$2:$A$501,0),MATCH(D$2,'Budget original'!$A$2:$AO$2,0))</f>
        <v>6</v>
      </c>
      <c r="E6" s="179">
        <f>IF(D6=0,0,F6/D6)</f>
        <v>4306.395348837209</v>
      </c>
      <c r="F6" s="179">
        <f>+INDEX('Budget original'!$A$2:$AO$501,MATCH($A6,'Budget original'!$A$2:$A$501,0),MATCH(F$2,'Budget original'!$A$2:$AO$2,0))</f>
        <v>25838.372093023252</v>
      </c>
      <c r="G6" s="182"/>
      <c r="H6" s="179"/>
      <c r="I6" s="179"/>
      <c r="J6" s="182">
        <f>-SUMIFS(BV_Data_An_Cour!$O:$O,BV_Data_An_Cour!$U:$U,$B6,BV_Data_An_Cour!$V:$V,$C6,BV_Data_An_Cour!$W:$W,J$2)</f>
        <v>2</v>
      </c>
      <c r="K6" s="179">
        <f>IF(J6=0,0,L6/J6)</f>
        <v>4989.5299999999988</v>
      </c>
      <c r="L6" s="473">
        <f>-SUMIFS(BV_Data_An_Cour!$O:$O,BV_Data_An_Cour!$U:$U,$B6,BV_Data_An_Cour!$V:$V,$C6,BV_Data_An_Cour!$W:$W,L$2)</f>
        <v>9979.0599999999977</v>
      </c>
      <c r="M6" s="182">
        <f t="shared" ref="M6:M12" si="2">J6-D6</f>
        <v>-4</v>
      </c>
      <c r="N6" s="180">
        <f t="shared" ref="N6:N12" si="3">L6-F6</f>
        <v>-15859.312093023254</v>
      </c>
      <c r="O6" s="182">
        <f>+INDEX('Réel 2024'!$A$2:$AO$501,MATCH($A6,'Réel 2024'!$A$2:$A$501,0),MATCH(O$2,'Réel 2024'!$A$2:$AO$2,0))</f>
        <v>12</v>
      </c>
      <c r="P6" s="179">
        <f t="shared" ref="P6:P12" si="4">IF(O6=0,0,Q6/O6)</f>
        <v>6636.944166666658</v>
      </c>
      <c r="Q6" s="473">
        <f t="array" ref="Q6">+INDEX('Réel 2024'!$A$2:$AO$501,MATCH($A6,'Réel 2024'!$A$2:$A$501,0),MATCH(Q$2,'Réel 2024'!$A$2:$AO$2,0))</f>
        <v>79643.3299999999</v>
      </c>
      <c r="R6" s="182">
        <f>J6-O6</f>
        <v>-10</v>
      </c>
      <c r="S6" s="345">
        <f>L6-Q6</f>
        <v>-69664.269999999902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>
        <f>+INDEX('Budget original'!$A$2:$AO$501,MATCH($A7,'Budget original'!$A$2:$A$501,0),MATCH(D$2,'Budget original'!$A$2:$AO$2,0))</f>
        <v>10</v>
      </c>
      <c r="E7" s="179">
        <f t="shared" ref="E7:E12" si="5">IF(D7=0,0,F7/D7)</f>
        <v>4000.3311258278145</v>
      </c>
      <c r="F7" s="179">
        <f>+INDEX('Budget original'!$A$2:$AO$501,MATCH($A7,'Budget original'!$A$2:$A$501,0),MATCH(F$2,'Budget original'!$A$2:$AO$2,0))</f>
        <v>40003.311258278147</v>
      </c>
      <c r="G7" s="182"/>
      <c r="H7" s="179"/>
      <c r="I7" s="179"/>
      <c r="J7" s="182">
        <f>-SUMIFS(BV_Data_An_Cour!$O:$O,BV_Data_An_Cour!$U:$U,$B7,BV_Data_An_Cour!$V:$V,$C7,BV_Data_An_Cour!$W:$W,J$2)</f>
        <v>6</v>
      </c>
      <c r="K7" s="179">
        <f t="shared" ref="K7:K12" si="6">IF(J7=0,0,L7/J7)</f>
        <v>3057.8933333333334</v>
      </c>
      <c r="L7" s="473">
        <f>-SUMIFS(BV_Data_An_Cour!$O:$O,BV_Data_An_Cour!$U:$U,$B7,BV_Data_An_Cour!$V:$V,$C7,BV_Data_An_Cour!$W:$W,L$2)</f>
        <v>18347.36</v>
      </c>
      <c r="M7" s="182">
        <f t="shared" si="2"/>
        <v>-4</v>
      </c>
      <c r="N7" s="180">
        <f t="shared" si="3"/>
        <v>-21655.951258278146</v>
      </c>
      <c r="O7" s="182">
        <f t="array" ref="O7">+INDEX('Réel 2024'!$A$2:$AO$501,MATCH($A7,'Réel 2024'!$A$2:$A$501,0),MATCH(O$2,'Réel 2024'!$A$2:$AO$2,0))</f>
        <v>11</v>
      </c>
      <c r="P7" s="179">
        <f t="shared" si="4"/>
        <v>5085.2609090909364</v>
      </c>
      <c r="Q7" s="473">
        <f t="array" ref="Q7">+INDEX('Réel 2024'!$A$2:$AO$501,MATCH($A7,'Réel 2024'!$A$2:$A$501,0),MATCH(Q$2,'Réel 2024'!$A$2:$AO$2,0))</f>
        <v>55937.870000000301</v>
      </c>
      <c r="R7" s="182">
        <f t="shared" ref="R7:R12" si="7">J7-O7</f>
        <v>-5</v>
      </c>
      <c r="S7" s="345">
        <f t="shared" ref="S7:S12" si="8">L7-Q7</f>
        <v>-37590.5100000003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>
        <f>+INDEX('Budget original'!$A$2:$AO$501,MATCH($A8,'Budget original'!$A$2:$A$501,0),MATCH(D$2,'Budget original'!$A$2:$AO$2,0))</f>
        <v>0</v>
      </c>
      <c r="E8" s="179">
        <f t="shared" si="5"/>
        <v>0</v>
      </c>
      <c r="F8" s="179">
        <f>+INDEX('Budget original'!$A$2:$AO$501,MATCH($A8,'Budget original'!$A$2:$A$501,0),MATCH(F$2,'Budget original'!$A$2:$AO$2,0))</f>
        <v>0</v>
      </c>
      <c r="G8" s="182"/>
      <c r="H8" s="179"/>
      <c r="I8" s="179"/>
      <c r="J8" s="182">
        <f>-SUMIFS(BV_Data_An_Cour!$O:$O,BV_Data_An_Cour!$U:$U,$B8,BV_Data_An_Cour!$V:$V,$C8,BV_Data_An_Cour!$W:$W,J$2)</f>
        <v>0</v>
      </c>
      <c r="K8" s="179">
        <f t="shared" si="6"/>
        <v>0</v>
      </c>
      <c r="L8" s="473">
        <f>-SUMIFS(BV_Data_An_Cour!$O:$O,BV_Data_An_Cour!$U:$U,$B8,BV_Data_An_Cour!$V:$V,$C8,BV_Data_An_Cour!$W:$W,L$2)</f>
        <v>0</v>
      </c>
      <c r="M8" s="182">
        <f t="shared" si="2"/>
        <v>0</v>
      </c>
      <c r="N8" s="180">
        <f t="shared" si="3"/>
        <v>0</v>
      </c>
      <c r="O8" s="182">
        <f t="array" ref="O8">+INDEX('Réel 2024'!$A$2:$AO$501,MATCH($A8,'Réel 2024'!$A$2:$A$501,0),MATCH(O$2,'Réel 2024'!$A$2:$AO$2,0))</f>
        <v>0</v>
      </c>
      <c r="P8" s="179">
        <f t="shared" si="4"/>
        <v>0</v>
      </c>
      <c r="Q8" s="473">
        <f t="array" ref="Q8">+INDEX('Réel 2024'!$A$2:$AO$501,MATCH($A8,'Réel 2024'!$A$2:$A$501,0),MATCH(Q$2,'Réel 2024'!$A$2:$AO$2,0))</f>
        <v>0</v>
      </c>
      <c r="R8" s="182">
        <f t="shared" si="7"/>
        <v>0</v>
      </c>
      <c r="S8" s="345">
        <f t="shared" si="8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>
        <f>+INDEX('Budget original'!$A$2:$AO$501,MATCH($A9,'Budget original'!$A$2:$A$501,0),MATCH(D$2,'Budget original'!$A$2:$AO$2,0))</f>
        <v>0</v>
      </c>
      <c r="E9" s="179">
        <f t="shared" si="5"/>
        <v>0</v>
      </c>
      <c r="F9" s="179">
        <f>+INDEX('Budget original'!$A$2:$AO$501,MATCH($A9,'Budget original'!$A$2:$A$501,0),MATCH(F$2,'Budget original'!$A$2:$AO$2,0))</f>
        <v>0</v>
      </c>
      <c r="G9" s="182"/>
      <c r="H9" s="179"/>
      <c r="I9" s="179"/>
      <c r="J9" s="182">
        <f>-SUMIFS(BV_Data_An_Cour!$O:$O,BV_Data_An_Cour!$U:$U,$B9,BV_Data_An_Cour!$V:$V,$C9,BV_Data_An_Cour!$W:$W,J$2)</f>
        <v>0</v>
      </c>
      <c r="K9" s="179">
        <f t="shared" si="6"/>
        <v>0</v>
      </c>
      <c r="L9" s="473">
        <f>-SUMIFS(BV_Data_An_Cour!$O:$O,BV_Data_An_Cour!$U:$U,$B9,BV_Data_An_Cour!$V:$V,$C9,BV_Data_An_Cour!$W:$W,L$2)</f>
        <v>0</v>
      </c>
      <c r="M9" s="182">
        <f t="shared" si="2"/>
        <v>0</v>
      </c>
      <c r="N9" s="180">
        <f t="shared" si="3"/>
        <v>0</v>
      </c>
      <c r="O9" s="182">
        <f t="array" ref="O9">+INDEX('Réel 2024'!$A$2:$AO$501,MATCH($A9,'Réel 2024'!$A$2:$A$501,0),MATCH(O$2,'Réel 2024'!$A$2:$AO$2,0))</f>
        <v>0</v>
      </c>
      <c r="P9" s="179">
        <f t="shared" si="4"/>
        <v>0</v>
      </c>
      <c r="Q9" s="473">
        <f t="array" ref="Q9">+INDEX('Réel 2024'!$A$2:$AO$501,MATCH($A9,'Réel 2024'!$A$2:$A$501,0),MATCH(Q$2,'Réel 2024'!$A$2:$AO$2,0))</f>
        <v>0</v>
      </c>
      <c r="R9" s="182">
        <f t="shared" si="7"/>
        <v>0</v>
      </c>
      <c r="S9" s="345">
        <f t="shared" si="8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>
        <f>+INDEX('Budget original'!$A$2:$AO$501,MATCH($A10,'Budget original'!$A$2:$A$501,0),MATCH(D$2,'Budget original'!$A$2:$AO$2,0))</f>
        <v>0</v>
      </c>
      <c r="E10" s="179">
        <f t="shared" si="5"/>
        <v>0</v>
      </c>
      <c r="F10" s="179">
        <f>+INDEX('Budget original'!$A$2:$AO$501,MATCH($A10,'Budget original'!$A$2:$A$501,0),MATCH(F$2,'Budget original'!$A$2:$AO$2,0))</f>
        <v>0</v>
      </c>
      <c r="G10" s="182"/>
      <c r="H10" s="179"/>
      <c r="I10" s="179"/>
      <c r="J10" s="182">
        <f>-SUMIFS(BV_Data_An_Cour!$O:$O,BV_Data_An_Cour!$U:$U,$B10,BV_Data_An_Cour!$V:$V,$C10,BV_Data_An_Cour!$W:$W,J$2)</f>
        <v>0</v>
      </c>
      <c r="K10" s="179">
        <f t="shared" si="6"/>
        <v>0</v>
      </c>
      <c r="L10" s="473">
        <f>-SUMIFS(BV_Data_An_Cour!$O:$O,BV_Data_An_Cour!$U:$U,$B10,BV_Data_An_Cour!$V:$V,$C10,BV_Data_An_Cour!$W:$W,L$2)</f>
        <v>0</v>
      </c>
      <c r="M10" s="182">
        <f t="shared" si="2"/>
        <v>0</v>
      </c>
      <c r="N10" s="180">
        <f t="shared" si="3"/>
        <v>0</v>
      </c>
      <c r="O10" s="182">
        <f t="array" ref="O10">+INDEX('Réel 2024'!$A$2:$AO$501,MATCH($A10,'Réel 2024'!$A$2:$A$501,0),MATCH(O$2,'Réel 2024'!$A$2:$AO$2,0))</f>
        <v>0</v>
      </c>
      <c r="P10" s="179">
        <f t="shared" si="4"/>
        <v>0</v>
      </c>
      <c r="Q10" s="473">
        <f t="array" ref="Q10">+INDEX('Réel 2024'!$A$2:$AO$501,MATCH($A10,'Réel 2024'!$A$2:$A$501,0),MATCH(Q$2,'Réel 2024'!$A$2:$AO$2,0))</f>
        <v>0</v>
      </c>
      <c r="R10" s="182">
        <f t="shared" si="7"/>
        <v>0</v>
      </c>
      <c r="S10" s="345">
        <f t="shared" si="8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>
        <f>+INDEX('Budget original'!$A$2:$AO$501,MATCH($A11,'Budget original'!$A$2:$A$501,0),MATCH(D$2,'Budget original'!$A$2:$AO$2,0))</f>
        <v>0</v>
      </c>
      <c r="E11" s="179">
        <f t="shared" si="5"/>
        <v>0</v>
      </c>
      <c r="F11" s="179">
        <f>+INDEX('Budget original'!$A$2:$AO$501,MATCH($A11,'Budget original'!$A$2:$A$501,0),MATCH(F$2,'Budget original'!$A$2:$AO$2,0))</f>
        <v>0</v>
      </c>
      <c r="G11" s="182"/>
      <c r="H11" s="179"/>
      <c r="I11" s="179"/>
      <c r="J11" s="182">
        <f>-SUMIFS(BV_Data_An_Cour!$O:$O,BV_Data_An_Cour!$U:$U,$B11,BV_Data_An_Cour!$V:$V,$C11,BV_Data_An_Cour!$W:$W,J$2)</f>
        <v>0</v>
      </c>
      <c r="K11" s="179">
        <f t="shared" si="6"/>
        <v>0</v>
      </c>
      <c r="L11" s="473">
        <f>-SUMIFS(BV_Data_An_Cour!$O:$O,BV_Data_An_Cour!$U:$U,$B11,BV_Data_An_Cour!$V:$V,$C11,BV_Data_An_Cour!$W:$W,L$2)</f>
        <v>0</v>
      </c>
      <c r="M11" s="182">
        <f t="shared" si="2"/>
        <v>0</v>
      </c>
      <c r="N11" s="180">
        <f t="shared" si="3"/>
        <v>0</v>
      </c>
      <c r="O11" s="182">
        <f t="array" ref="O11">+INDEX('Réel 2024'!$A$2:$AO$501,MATCH($A11,'Réel 2024'!$A$2:$A$501,0),MATCH(O$2,'Réel 2024'!$A$2:$AO$2,0))</f>
        <v>0</v>
      </c>
      <c r="P11" s="179">
        <f t="shared" si="4"/>
        <v>0</v>
      </c>
      <c r="Q11" s="473">
        <f t="array" ref="Q11">+INDEX('Réel 2024'!$A$2:$AO$501,MATCH($A11,'Réel 2024'!$A$2:$A$501,0),MATCH(Q$2,'Réel 2024'!$A$2:$AO$2,0))</f>
        <v>0</v>
      </c>
      <c r="R11" s="182">
        <f t="shared" si="7"/>
        <v>0</v>
      </c>
      <c r="S11" s="345">
        <f t="shared" si="8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>
        <f>+INDEX('Budget original'!$A$2:$AO$501,MATCH($A12,'Budget original'!$A$2:$A$501,0),MATCH(D$2,'Budget original'!$A$2:$AO$2,0))</f>
        <v>0</v>
      </c>
      <c r="E12" s="179">
        <f t="shared" si="5"/>
        <v>0</v>
      </c>
      <c r="F12" s="179">
        <f>+INDEX('Budget original'!$A$2:$AO$501,MATCH($A12,'Budget original'!$A$2:$A$501,0),MATCH(F$2,'Budget original'!$A$2:$AO$2,0))</f>
        <v>0</v>
      </c>
      <c r="G12" s="182"/>
      <c r="H12" s="179"/>
      <c r="I12" s="179"/>
      <c r="J12" s="182">
        <f>-SUMIFS(BV_Data_An_Cour!$O:$O,BV_Data_An_Cour!$U:$U,$B12,BV_Data_An_Cour!$V:$V,$C12,BV_Data_An_Cour!$W:$W,J$2)</f>
        <v>0</v>
      </c>
      <c r="K12" s="179">
        <f t="shared" si="6"/>
        <v>0</v>
      </c>
      <c r="L12" s="473">
        <f>-SUMIFS(BV_Data_An_Cour!$O:$O,BV_Data_An_Cour!$U:$U,$B12,BV_Data_An_Cour!$V:$V,$C12,BV_Data_An_Cour!$W:$W,L$2)</f>
        <v>0</v>
      </c>
      <c r="M12" s="182">
        <f t="shared" si="2"/>
        <v>0</v>
      </c>
      <c r="N12" s="180">
        <f t="shared" si="3"/>
        <v>0</v>
      </c>
      <c r="O12" s="182">
        <f t="array" ref="O12">+INDEX('Réel 2024'!$A$2:$AO$501,MATCH($A12,'Réel 2024'!$A$2:$A$501,0),MATCH(O$2,'Réel 2024'!$A$2:$AO$2,0))</f>
        <v>0</v>
      </c>
      <c r="P12" s="179">
        <f t="shared" si="4"/>
        <v>0</v>
      </c>
      <c r="Q12" s="473">
        <f t="array" ref="Q12">+INDEX('Réel 2024'!$A$2:$AO$501,MATCH($A12,'Réel 2024'!$A$2:$A$501,0),MATCH(Q$2,'Réel 2024'!$A$2:$AO$2,0))</f>
        <v>0</v>
      </c>
      <c r="R12" s="182">
        <f t="shared" si="7"/>
        <v>0</v>
      </c>
      <c r="S12" s="345">
        <f t="shared" si="8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16</v>
      </c>
      <c r="E13" s="346">
        <f>IF(D13&lt;=0,0,F13/D13)</f>
        <v>4115.1052094563374</v>
      </c>
      <c r="F13" s="347">
        <f>+SUM(F6:F12)</f>
        <v>65841.683351301399</v>
      </c>
      <c r="G13" s="348"/>
      <c r="H13" s="346"/>
      <c r="I13" s="347"/>
      <c r="J13" s="348">
        <f>+SUM(J6:J12)</f>
        <v>8</v>
      </c>
      <c r="K13" s="346">
        <f>IF(J13&lt;=0,0,L13/J13)</f>
        <v>3540.8024999999998</v>
      </c>
      <c r="L13" s="347">
        <f>+SUM(L6:L12)</f>
        <v>28326.42</v>
      </c>
      <c r="M13" s="348">
        <f>+SUM(M6:M12)</f>
        <v>-8</v>
      </c>
      <c r="N13" s="347">
        <f>+SUM(N6:N12)</f>
        <v>-37515.263351301401</v>
      </c>
      <c r="O13" s="348">
        <f>+SUM(O6:O12)</f>
        <v>23</v>
      </c>
      <c r="P13" s="346">
        <f>IF(O13&lt;=0,0,Q13/O13)</f>
        <v>5894.8347826087038</v>
      </c>
      <c r="Q13" s="347">
        <f>+SUM(Q6:Q12)</f>
        <v>135581.20000000019</v>
      </c>
      <c r="R13" s="348">
        <f>+SUM(R6:R12)</f>
        <v>-15</v>
      </c>
      <c r="S13" s="349">
        <f>+SUM(S6:S12)</f>
        <v>-107254.7800000002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-0.5</v>
      </c>
      <c r="N14" s="234">
        <f>IF(F13=0,0,N13/F13)</f>
        <v>-0.56977983310567792</v>
      </c>
      <c r="O14" s="223"/>
      <c r="P14" s="179"/>
      <c r="Q14" s="265"/>
      <c r="R14" s="235">
        <f>R13/O13</f>
        <v>-0.65217391304347827</v>
      </c>
      <c r="S14" s="262">
        <f>IF(Q13=0,0,(S13/Q13))</f>
        <v>-0.7910741312217332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f>+INDEX('Budget original'!$A$2:$AO$501,MATCH($A15,'Budget original'!$A$2:$A$501,0),MATCH(D$2,'Budget original'!$A$2:$AO$2,0))</f>
        <v>2</v>
      </c>
      <c r="E15" s="184">
        <f>IF(D15=0,0,F15/D15)</f>
        <v>750</v>
      </c>
      <c r="F15" s="177">
        <f>+INDEX('Budget original'!$A$2:$AO$501,MATCH($A15,'Budget original'!$A$2:$A$501,0),MATCH(F$2,'Budget original'!$A$2:$AO$2,0))</f>
        <v>1500</v>
      </c>
      <c r="G15" s="183"/>
      <c r="H15" s="352"/>
      <c r="I15" s="350"/>
      <c r="J15" s="466">
        <f>-SUMIFS(BV_Data_An_Cour!$O:$O,BV_Data_An_Cour!$U:$U,$B15,BV_Data_An_Cour!$V:$V,$C15,BV_Data_An_Cour!$W:$W,J$2)</f>
        <v>0</v>
      </c>
      <c r="K15" s="467">
        <f>IF(J15=0,0,L15/J15)</f>
        <v>0</v>
      </c>
      <c r="L15" s="467">
        <f>-SUMIFS(BV_Data_An_Cour!$O:$O,BV_Data_An_Cour!$U:$U,$B15,BV_Data_An_Cour!$V:$V,$C15,BV_Data_An_Cour!$W:$W,L$2)</f>
        <v>0</v>
      </c>
      <c r="M15" s="351">
        <f>J15-D15</f>
        <v>-2</v>
      </c>
      <c r="N15" s="350">
        <f>L15-F15</f>
        <v>-1500</v>
      </c>
      <c r="O15" s="466">
        <f t="array" ref="O15">+INDEX('Réel 2024'!$A$2:$AO$501,MATCH($A15,'Réel 2024'!$A$2:$A$501,0),MATCH(O$2,'Réel 2024'!$A$2:$AO$2,0))</f>
        <v>2</v>
      </c>
      <c r="P15" s="467">
        <f>IF(O15=0,0,Q15/O15)</f>
        <v>588.41999999999496</v>
      </c>
      <c r="Q15" s="467">
        <f t="array" ref="Q15">+INDEX('Réel 2024'!$A$2:$AO$501,MATCH($A15,'Réel 2024'!$A$2:$A$501,0),MATCH(Q$2,'Réel 2024'!$A$2:$AO$2,0))</f>
        <v>1176.8399999999899</v>
      </c>
      <c r="R15" s="351">
        <f>J15-O15</f>
        <v>-2</v>
      </c>
      <c r="S15" s="372">
        <f>L15-Q15</f>
        <v>-1176.8399999999899</v>
      </c>
      <c r="T15" s="25"/>
      <c r="U15" s="25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>
        <f>+INDEX('Budget original'!$A$2:$AO$501,MATCH($A17,'Budget original'!$A$2:$A$501,0),MATCH(D$2,'Budget original'!$A$2:$AO$2,0))</f>
        <v>0</v>
      </c>
      <c r="E17" s="179">
        <f>IF(D17=0,0,F17/D17)</f>
        <v>0</v>
      </c>
      <c r="F17" s="179">
        <f>+INDEX('Budget original'!$A$2:$AO$501,MATCH($A17,'Budget original'!$A$2:$A$501,0),MATCH(F$2,'Budget original'!$A$2:$AO$2,0))</f>
        <v>0</v>
      </c>
      <c r="G17" s="182"/>
      <c r="H17" s="179"/>
      <c r="I17" s="179"/>
      <c r="J17" s="351">
        <f>-SUMIFS(BV_Data_An_Cour!$O:$O,BV_Data_An_Cour!$U:$U,$B17,BV_Data_An_Cour!$V:$V,$C17,BV_Data_An_Cour!$W:$W,J$2)</f>
        <v>4</v>
      </c>
      <c r="K17" s="179">
        <f>IF(J17=0,0,L17/J17)</f>
        <v>1875.1650000000045</v>
      </c>
      <c r="L17" s="180">
        <f>-SUMIFS(BV_Data_An_Cour!$O:$O,BV_Data_An_Cour!$U:$U,$B17,BV_Data_An_Cour!$V:$V,$C17,BV_Data_An_Cour!$W:$W,L$2)</f>
        <v>7500.660000000018</v>
      </c>
      <c r="M17" s="351">
        <f>J17-D17</f>
        <v>4</v>
      </c>
      <c r="N17" s="180">
        <f>L17-F17</f>
        <v>7500.660000000018</v>
      </c>
      <c r="O17" s="351">
        <f t="array" ref="O17">+INDEX('Réel 2024'!$A$2:$AO$501,MATCH($A17,'Réel 2024'!$A$2:$A$501,0),MATCH(O$2,'Réel 2024'!$A$2:$AO$2,0))</f>
        <v>0</v>
      </c>
      <c r="P17" s="179">
        <f>IF(O17=0,0,Q17/O17)</f>
        <v>0</v>
      </c>
      <c r="Q17" s="180">
        <f t="array" ref="Q17">+INDEX('Réel 2024'!$A$2:$AO$501,MATCH($A17,'Réel 2024'!$A$2:$A$501,0),MATCH(Q$2,'Réel 2024'!$A$2:$AO$2,0))</f>
        <v>0</v>
      </c>
      <c r="R17" s="182">
        <f>J17-O17</f>
        <v>4</v>
      </c>
      <c r="S17" s="345">
        <f>L17-Q17</f>
        <v>7500.660000000018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>
        <f>+INDEX('Budget original'!$A$2:$AO$501,MATCH($A19,'Budget original'!$A$2:$A$501,0),MATCH(D$2,'Budget original'!$A$2:$AO$2,0))</f>
        <v>0</v>
      </c>
      <c r="E19" s="179">
        <f>IF(D19=0,0,F19/D19)</f>
        <v>0</v>
      </c>
      <c r="F19" s="179">
        <f>+INDEX('Budget original'!$A$2:$AO$501,MATCH($A19,'Budget original'!$A$2:$A$501,0),MATCH(F$2,'Budget original'!$A$2:$AO$2,0))</f>
        <v>1926.107206113109</v>
      </c>
      <c r="G19" s="182"/>
      <c r="H19" s="179"/>
      <c r="I19" s="179"/>
      <c r="J19" s="183"/>
      <c r="K19" s="179"/>
      <c r="L19" s="180">
        <f>-SUMIFS(BV_Data_An_Cour!$O:$O,BV_Data_An_Cour!$U:$U,$B19,BV_Data_An_Cour!$V:$V,$C19,BV_Data_An_Cour!$W:$W,L$2)</f>
        <v>999</v>
      </c>
      <c r="M19" s="182"/>
      <c r="N19" s="180">
        <f>L19-F19</f>
        <v>-927.10720611310899</v>
      </c>
      <c r="O19" s="183"/>
      <c r="P19" s="179"/>
      <c r="Q19" s="180">
        <f t="array" ref="Q19">+INDEX('Réel 2024'!$A$2:$AO$501,MATCH($A19,'Réel 2024'!$A$2:$A$501,0),MATCH(Q$2,'Réel 2024'!$A$2:$AO$2,0))</f>
        <v>1506.8799999999901</v>
      </c>
      <c r="R19" s="182">
        <f>O19-K19</f>
        <v>0</v>
      </c>
      <c r="S19" s="345">
        <f>L19-Q19</f>
        <v>-507.8799999999901</v>
      </c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>
        <f>+INDEX('Budget original'!$A$2:$AO$501,MATCH($A21,'Budget original'!$A$2:$A$501,0),MATCH(D$2,'Budget original'!$A$2:$AO$2,0))</f>
        <v>0</v>
      </c>
      <c r="E21" s="179">
        <f>IF(D21=0,0,F21/D21)</f>
        <v>0</v>
      </c>
      <c r="F21" s="179">
        <f>+INDEX('Budget original'!$A$2:$AO$501,MATCH($A21,'Budget original'!$A$2:$A$501,0),MATCH(F$2,'Budget original'!$A$2:$AO$2,0))</f>
        <v>450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-SUMIFS(BV_Data_An_Cour!$O:$O,BV_Data_An_Cour!$U:$U,$B21,BV_Data_An_Cour!$V:$V,$C21,BV_Data_An_Cour!$W:$W,L$2)</f>
        <v>0</v>
      </c>
      <c r="M21" s="182"/>
      <c r="N21" s="180">
        <f>L21-F21</f>
        <v>-450</v>
      </c>
      <c r="O21" s="182"/>
      <c r="P21" s="179"/>
      <c r="Q21" s="180">
        <f t="array" ref="Q21">+INDEX('Réel 2024'!$A$2:$AO$501,MATCH($A21,'Réel 2024'!$A$2:$A$501,0),MATCH(Q$2,'Réel 2024'!$A$2:$AO$2,0))</f>
        <v>1241.6099999999999</v>
      </c>
      <c r="R21" s="182">
        <f>O21-K21</f>
        <v>0</v>
      </c>
      <c r="S21" s="345">
        <f>L21-Q21</f>
        <v>-1241.6099999999999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>
        <f>+INDEX('Budget original'!$A$2:$AO$501,MATCH($A22,'Budget original'!$A$2:$A$501,0),MATCH(D$2,'Budget original'!$A$2:$AO$2,0))</f>
        <v>0</v>
      </c>
      <c r="E22" s="179">
        <f>IF(D22=0,0,F22/D22)</f>
        <v>0</v>
      </c>
      <c r="F22" s="179">
        <f>+INDEX('Budget original'!$A$2:$AO$501,MATCH($A22,'Budget original'!$A$2:$A$501,0),MATCH(F$2,'Budget original'!$A$2:$AO$2,0))</f>
        <v>20700</v>
      </c>
      <c r="G22" s="223"/>
      <c r="H22" s="179"/>
      <c r="I22" s="179"/>
      <c r="J22" s="182"/>
      <c r="K22" s="179">
        <f>IF(J13=0,0,L22/(J13+J15))</f>
        <v>912.25</v>
      </c>
      <c r="L22" s="180">
        <f>-SUMIFS(BV_Data_An_Cour!$O:$O,BV_Data_An_Cour!$U:$U,$B22,BV_Data_An_Cour!$V:$V,$C22,BV_Data_An_Cour!$W:$W,L$2)</f>
        <v>7298</v>
      </c>
      <c r="M22" s="182"/>
      <c r="N22" s="180">
        <f>L22-F22</f>
        <v>-13402</v>
      </c>
      <c r="O22" s="182"/>
      <c r="P22" s="179"/>
      <c r="Q22" s="180">
        <f t="array" ref="Q22">+INDEX('Réel 2024'!$A$2:$AO$501,MATCH($A22,'Réel 2024'!$A$2:$A$501,0),MATCH(Q$2,'Réel 2024'!$A$2:$AO$2,0))</f>
        <v>27169.62</v>
      </c>
      <c r="R22" s="182">
        <f>O22-K22</f>
        <v>-912.25</v>
      </c>
      <c r="S22" s="345">
        <f>L22-Q22</f>
        <v>-19871.62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>
        <f>+INDEX('Budget original'!$A$2:$AO$501,MATCH($A23,'Budget original'!$A$2:$A$501,0),MATCH(D$2,'Budget original'!$A$2:$AO$2,0))</f>
        <v>0</v>
      </c>
      <c r="E23" s="179">
        <f>IF(D23=0,0,F23/D23)</f>
        <v>0</v>
      </c>
      <c r="F23" s="179">
        <f>+INDEX('Budget original'!$A$2:$AO$501,MATCH($A23,'Budget original'!$A$2:$A$501,0),MATCH(F$2,'Budget original'!$A$2:$AO$2,0))</f>
        <v>8640</v>
      </c>
      <c r="G23" s="223"/>
      <c r="H23" s="179"/>
      <c r="I23" s="179"/>
      <c r="J23" s="182"/>
      <c r="K23" s="179">
        <f>IF(J13=0,0,L23/(J13+J15))</f>
        <v>891.08125000000018</v>
      </c>
      <c r="L23" s="180">
        <f>-SUMIFS(BV_Data_An_Cour!$O:$O,BV_Data_An_Cour!$U:$U,$B23,BV_Data_An_Cour!$V:$V,$C23,BV_Data_An_Cour!$W:$W,L$2)</f>
        <v>7128.6500000000015</v>
      </c>
      <c r="M23" s="351"/>
      <c r="N23" s="180">
        <f>L23-F23</f>
        <v>-1511.3499999999985</v>
      </c>
      <c r="O23" s="182"/>
      <c r="P23" s="179"/>
      <c r="Q23" s="180">
        <f t="array" ref="Q23">+INDEX('Réel 2024'!$A$2:$AO$501,MATCH($A23,'Réel 2024'!$A$2:$A$501,0),MATCH(Q$2,'Réel 2024'!$A$2:$AO$2,0))</f>
        <v>11508.039999999901</v>
      </c>
      <c r="R23" s="182">
        <f>O23-K23</f>
        <v>-891.08125000000018</v>
      </c>
      <c r="S23" s="345">
        <f>L23-Q23</f>
        <v>-4379.3899999998994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18</v>
      </c>
      <c r="E24" s="346">
        <f>IF(D24&lt;=0,0,F24/D24)</f>
        <v>1655</v>
      </c>
      <c r="F24" s="347">
        <f>F21+F22+F23</f>
        <v>29790</v>
      </c>
      <c r="G24" s="348"/>
      <c r="H24" s="346"/>
      <c r="I24" s="347"/>
      <c r="J24" s="348">
        <f>+J15+J13</f>
        <v>8</v>
      </c>
      <c r="K24" s="346">
        <f>IF(J24&lt;=0,0,L24/J24)</f>
        <v>1803.3312500000002</v>
      </c>
      <c r="L24" s="347">
        <f>L21+L22+L23</f>
        <v>14426.650000000001</v>
      </c>
      <c r="M24" s="376">
        <f>J24-D24</f>
        <v>-10</v>
      </c>
      <c r="N24" s="347">
        <f>L24-F24</f>
        <v>-15363.349999999999</v>
      </c>
      <c r="O24" s="348">
        <f>+O15+O13</f>
        <v>25</v>
      </c>
      <c r="P24" s="346">
        <f>IF(O24&lt;=0,0,Q24/O24)</f>
        <v>1596.7707999999961</v>
      </c>
      <c r="Q24" s="347">
        <f>Q21+Q22+Q23</f>
        <v>39919.269999999902</v>
      </c>
      <c r="R24" s="356"/>
      <c r="S24" s="349">
        <f>L24-Q24</f>
        <v>-25492.619999999901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-0.51572171869754946</v>
      </c>
      <c r="O25" s="223"/>
      <c r="P25" s="178"/>
      <c r="Q25" s="225"/>
      <c r="R25" s="224"/>
      <c r="S25" s="262">
        <f>IF(Q24=0,0,(S24/Q24))</f>
        <v>-0.63860436325614078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18</v>
      </c>
      <c r="E27" s="27">
        <f>IF(D27&lt;=0,0,F27/D27)</f>
        <v>5503.2105865230287</v>
      </c>
      <c r="F27" s="28">
        <f>F13+F17+F24+F19+F15</f>
        <v>99057.790557414512</v>
      </c>
      <c r="G27" s="29"/>
      <c r="H27" s="30"/>
      <c r="I27" s="28"/>
      <c r="J27" s="29">
        <f>+J13+J15+J17</f>
        <v>12</v>
      </c>
      <c r="K27" s="30">
        <f>IF(J27&lt;=0,0,L27/J27)</f>
        <v>4271.0608333333348</v>
      </c>
      <c r="L27" s="28">
        <f>L13+L17+L24+L19+L15</f>
        <v>51252.730000000018</v>
      </c>
      <c r="M27" s="29">
        <f>J27-D27</f>
        <v>-6</v>
      </c>
      <c r="N27" s="28">
        <f>L27-F27</f>
        <v>-47805.060557414494</v>
      </c>
      <c r="O27" s="29">
        <f>+O13+O15+O17</f>
        <v>25</v>
      </c>
      <c r="P27" s="30">
        <f>IF(O27&lt;=0,0,Q27/O27)</f>
        <v>7127.3676000000032</v>
      </c>
      <c r="Q27" s="28">
        <f>Q13+Q17+Q24+Q19+Q15</f>
        <v>178184.19000000009</v>
      </c>
      <c r="R27" s="29">
        <f>J27-O27</f>
        <v>-13</v>
      </c>
      <c r="S27" s="321">
        <f>L27-Q27</f>
        <v>-126931.46000000008</v>
      </c>
      <c r="T27" s="25"/>
      <c r="U27" s="25"/>
      <c r="W27" s="24"/>
      <c r="X27" s="115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-0.33333333333333331</v>
      </c>
      <c r="N28" s="34">
        <f>N27/F27</f>
        <v>-0.48259768654648505</v>
      </c>
      <c r="O28" s="31"/>
      <c r="P28" s="323"/>
      <c r="Q28" s="32"/>
      <c r="R28" s="33">
        <f>R27/O27</f>
        <v>-0.52</v>
      </c>
      <c r="S28" s="259">
        <f>IF(Q27=0,0,S27/Q27)</f>
        <v>-0.71236095637890218</v>
      </c>
      <c r="T28" s="25"/>
      <c r="U28" s="25"/>
      <c r="W28" s="24"/>
      <c r="X28" s="115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>
        <f>F31/(F13+F15)</f>
        <v>0.30138081928811916</v>
      </c>
      <c r="E31" s="195">
        <f t="shared" ref="E31:E36" si="9">F31/D$24</f>
        <v>1127.5273167031282</v>
      </c>
      <c r="F31" s="179">
        <f>+INDEX('Budget original'!$A$2:$AO$501,MATCH($A31,'Budget original'!$A$2:$A$501,0),MATCH(F$2,'Budget original'!$A$2:$AO$2,0))</f>
        <v>20295.491700656308</v>
      </c>
      <c r="G31" s="293"/>
      <c r="H31" s="195"/>
      <c r="I31" s="179"/>
      <c r="J31" s="293">
        <f>L31/(L13+L15)</f>
        <v>0.32221826831629274</v>
      </c>
      <c r="K31" s="195">
        <f t="shared" ref="K31:K36" si="10">IF(L31=0,0,L31/J$24)</f>
        <v>1140.9112500000001</v>
      </c>
      <c r="L31" s="179">
        <f>SUMIFS(BV_Data_An_Cour!$O:$O,BV_Data_An_Cour!$U:$U,$B31,BV_Data_An_Cour!$V:$V,$C31,BV_Data_An_Cour!$W:$W,L$2)</f>
        <v>9127.2900000000009</v>
      </c>
      <c r="M31" s="223"/>
      <c r="N31" s="225">
        <f t="shared" ref="N31:N53" si="11">L31-F31</f>
        <v>-11168.201700656307</v>
      </c>
      <c r="O31" s="293">
        <f>Q31/(Q13+Q15+Q17)</f>
        <v>0.26180588724436199</v>
      </c>
      <c r="P31" s="195">
        <f t="shared" ref="P31:P40" si="12">Q31/O$24</f>
        <v>1432.1623999999999</v>
      </c>
      <c r="Q31" s="180">
        <f t="array" ref="Q31">+INDEX('Réel 2024'!$A$2:$AO$501,MATCH($A31,'Réel 2024'!$A$2:$A$501,0),MATCH(Q$2,'Réel 2024'!$A$2:$AO$2,0))</f>
        <v>35804.06</v>
      </c>
      <c r="R31" s="223"/>
      <c r="S31" s="197">
        <f t="shared" ref="S31:S41" si="13">L31-Q31</f>
        <v>-26676.769999999997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9"/>
        <v>455.125</v>
      </c>
      <c r="F32" s="177">
        <f>+INDEX('Budget original'!$A$2:$AO$501,MATCH($A32,'Budget original'!$A$2:$A$501,0),MATCH(F$2,'Budget original'!$A$2:$AO$2,0))</f>
        <v>8192.25</v>
      </c>
      <c r="G32" s="320"/>
      <c r="H32" s="188"/>
      <c r="I32" s="177"/>
      <c r="J32" s="320">
        <f>L32/L24</f>
        <v>0.32295924556289918</v>
      </c>
      <c r="K32" s="358">
        <f t="shared" si="10"/>
        <v>582.40250000000003</v>
      </c>
      <c r="L32" s="177">
        <f>SUMIFS(BV_Data_An_Cour!$O:$O,BV_Data_An_Cour!$U:$U,$B32,BV_Data_An_Cour!$V:$V,$C32,BV_Data_An_Cour!$W:$W,L$2)</f>
        <v>4659.22</v>
      </c>
      <c r="M32" s="278"/>
      <c r="N32" s="279">
        <f t="shared" si="11"/>
        <v>-3533.0299999999997</v>
      </c>
      <c r="O32" s="320">
        <f>Q32/Q24</f>
        <v>0.3335449270490175</v>
      </c>
      <c r="P32" s="358">
        <f t="shared" si="12"/>
        <v>532.59480000000008</v>
      </c>
      <c r="Q32" s="177">
        <f t="array" ref="Q32">+INDEX('Réel 2024'!$A$2:$AO$501,MATCH($A32,'Réel 2024'!$A$2:$A$501,0),MATCH(Q$2,'Réel 2024'!$A$2:$AO$2,0))</f>
        <v>13314.87</v>
      </c>
      <c r="R32" s="278"/>
      <c r="S32" s="200">
        <f t="shared" si="13"/>
        <v>-8655.6500000000015</v>
      </c>
      <c r="T32" s="25"/>
      <c r="U32" s="25"/>
      <c r="V32" s="1275" t="s">
        <v>3025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9"/>
        <v>130</v>
      </c>
      <c r="F33" s="179">
        <f>+INDEX('Budget original'!$A$2:$AO$501,MATCH($A33,'Budget original'!$A$2:$A$501,0),MATCH(F$2,'Budget original'!$A$2:$AO$2,0))</f>
        <v>2340</v>
      </c>
      <c r="G33" s="269"/>
      <c r="H33" s="195"/>
      <c r="I33" s="179"/>
      <c r="J33" s="223"/>
      <c r="K33" s="195">
        <f t="shared" si="10"/>
        <v>0.46250000000000002</v>
      </c>
      <c r="L33" s="179">
        <f>SUMIFS(BV_Data_An_Cour!$O:$O,BV_Data_An_Cour!$U:$U,$B33,BV_Data_An_Cour!$V:$V,$C33,BV_Data_An_Cour!$W:$W,L$2)</f>
        <v>3.7</v>
      </c>
      <c r="M33" s="223"/>
      <c r="N33" s="225">
        <f t="shared" si="11"/>
        <v>-2336.3000000000002</v>
      </c>
      <c r="O33" s="223"/>
      <c r="P33" s="195">
        <f t="shared" si="12"/>
        <v>100.46719999999999</v>
      </c>
      <c r="Q33" s="180">
        <f t="array" ref="Q33">+INDEX('Réel 2024'!$A$2:$AO$501,MATCH($A33,'Réel 2024'!$A$2:$A$501,0),MATCH(Q$2,'Réel 2024'!$A$2:$AO$2,0))</f>
        <v>2511.6799999999998</v>
      </c>
      <c r="R33" s="223"/>
      <c r="S33" s="197">
        <f t="shared" si="13"/>
        <v>-2507.98</v>
      </c>
      <c r="T33" s="25"/>
      <c r="U33" s="25"/>
      <c r="V33" s="1275" t="s">
        <v>3022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9"/>
        <v>37</v>
      </c>
      <c r="F34" s="179">
        <f>+INDEX('Budget original'!$A$2:$AO$501,MATCH($A34,'Budget original'!$A$2:$A$501,0),MATCH(F$2,'Budget original'!$A$2:$AO$2,0))</f>
        <v>666</v>
      </c>
      <c r="G34" s="269"/>
      <c r="H34" s="195"/>
      <c r="I34" s="179"/>
      <c r="J34" s="223"/>
      <c r="K34" s="195">
        <f t="shared" si="10"/>
        <v>0</v>
      </c>
      <c r="L34" s="179">
        <f>SUMIFS(BV_Data_An_Cour!$O:$O,BV_Data_An_Cour!$U:$U,$B34,BV_Data_An_Cour!$V:$V,$C34,BV_Data_An_Cour!$W:$W,L$2)</f>
        <v>0</v>
      </c>
      <c r="M34" s="223"/>
      <c r="N34" s="225">
        <f t="shared" si="11"/>
        <v>-666</v>
      </c>
      <c r="O34" s="223"/>
      <c r="P34" s="195">
        <f t="shared" si="12"/>
        <v>37.722799999999999</v>
      </c>
      <c r="Q34" s="180">
        <f t="array" ref="Q34">+INDEX('Réel 2024'!$A$2:$AO$501,MATCH($A34,'Réel 2024'!$A$2:$A$501,0),MATCH(Q$2,'Réel 2024'!$A$2:$AO$2,0))</f>
        <v>943.07</v>
      </c>
      <c r="R34" s="223"/>
      <c r="S34" s="197">
        <f t="shared" si="13"/>
        <v>-943.07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9"/>
        <v>63.333333333333336</v>
      </c>
      <c r="F35" s="177">
        <f>+INDEX('Budget original'!$A$2:$AO$501,MATCH($A35,'Budget original'!$A$2:$A$501,0),MATCH(F$2,'Budget original'!$A$2:$AO$2,0))</f>
        <v>1140</v>
      </c>
      <c r="G35" s="277"/>
      <c r="H35" s="188"/>
      <c r="I35" s="177"/>
      <c r="J35" s="278"/>
      <c r="K35" s="358">
        <f t="shared" si="10"/>
        <v>356.60874999999999</v>
      </c>
      <c r="L35" s="177">
        <f>SUMIFS(BV_Data_An_Cour!$O:$O,BV_Data_An_Cour!$U:$U,$B35,BV_Data_An_Cour!$V:$V,$C35,BV_Data_An_Cour!$W:$W,L$2)</f>
        <v>2852.87</v>
      </c>
      <c r="M35" s="278"/>
      <c r="N35" s="279">
        <f t="shared" si="11"/>
        <v>1712.87</v>
      </c>
      <c r="O35" s="278"/>
      <c r="P35" s="358">
        <f t="shared" si="12"/>
        <v>83.334800000000001</v>
      </c>
      <c r="Q35" s="180">
        <f t="array" ref="Q35">+INDEX('Réel 2024'!$A$2:$AO$501,MATCH($A35,'Réel 2024'!$A$2:$A$501,0),MATCH(Q$2,'Réel 2024'!$A$2:$AO$2,0))</f>
        <v>2083.37</v>
      </c>
      <c r="R35" s="278"/>
      <c r="S35" s="200">
        <f t="shared" si="13"/>
        <v>769.5</v>
      </c>
      <c r="T35" s="25"/>
      <c r="U35" s="25"/>
      <c r="V35" s="1275" t="s">
        <v>3023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9"/>
        <v>513.97058823529414</v>
      </c>
      <c r="F36" s="179">
        <f>+INDEX('Budget original'!$A$2:$AO$501,MATCH($A36,'Budget original'!$A$2:$A$501,0),MATCH(F$2,'Budget original'!$A$2:$AO$2,0))</f>
        <v>9251.4705882352937</v>
      </c>
      <c r="G36" s="269"/>
      <c r="H36" s="195"/>
      <c r="I36" s="179"/>
      <c r="J36" s="223"/>
      <c r="K36" s="195">
        <f t="shared" si="10"/>
        <v>1325.5687499999999</v>
      </c>
      <c r="L36" s="546">
        <f>SUMIFS(BV_Data_An_Cour!$O:$O,BV_Data_An_Cour!$U:$U,$B36,BV_Data_An_Cour!$V:$V,$C36,BV_Data_An_Cour!$W:$W,L$2)</f>
        <v>10604.55</v>
      </c>
      <c r="M36" s="178"/>
      <c r="N36" s="225">
        <f t="shared" si="11"/>
        <v>1353.0794117647056</v>
      </c>
      <c r="O36" s="223"/>
      <c r="P36" s="195">
        <f t="shared" si="12"/>
        <v>813.90160000000003</v>
      </c>
      <c r="Q36" s="374">
        <f t="array" ref="Q36">+INDEX('Réel 2024'!$A$2:$AO$501,MATCH($A36,'Réel 2024'!$A$2:$A$501,0),MATCH(Q$2,'Réel 2024'!$A$2:$AO$2,0))</f>
        <v>20347.54</v>
      </c>
      <c r="R36" s="223"/>
      <c r="S36" s="197">
        <f t="shared" si="13"/>
        <v>-9742.9900000000016</v>
      </c>
      <c r="T36" s="25"/>
      <c r="U36" s="25"/>
      <c r="V36" s="1275" t="s">
        <v>3048</v>
      </c>
      <c r="W36" s="1275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1313.562245429197</v>
      </c>
      <c r="F37" s="179">
        <f>+INDEX('Budget original'!$A$2:$AO$501,MATCH($A37,'Budget original'!$A$2:$A$501,0),MATCH(F$2,'Budget original'!$A$2:$AO$2,0))</f>
        <v>23644.120417725546</v>
      </c>
      <c r="G37" s="269"/>
      <c r="H37" s="195"/>
      <c r="I37" s="179"/>
      <c r="J37" s="223"/>
      <c r="K37" s="195">
        <f>IF(L37=0,0,L37/J$24)</f>
        <v>2816.66</v>
      </c>
      <c r="L37" s="547">
        <f>SUMIFS(BV_Data_An_Cour!$O:$O,BV_Data_An_Cour!$U:$U,$B37,BV_Data_An_Cour!$V:$V,$C37,BV_Data_An_Cour!$W:$W,L$2)</f>
        <v>22533.279999999999</v>
      </c>
      <c r="M37" s="178"/>
      <c r="N37" s="225">
        <f t="shared" si="11"/>
        <v>-1110.840417725547</v>
      </c>
      <c r="O37" s="223"/>
      <c r="P37" s="195">
        <f t="shared" si="12"/>
        <v>1073.2664</v>
      </c>
      <c r="Q37" s="180">
        <f t="array" ref="Q37">+INDEX('Réel 2024'!$A$2:$AO$501,MATCH($A37,'Réel 2024'!$A$2:$A$501,0),MATCH(Q$2,'Réel 2024'!$A$2:$AO$2,0))</f>
        <v>26831.66</v>
      </c>
      <c r="R37" s="223"/>
      <c r="S37" s="197">
        <f>L37-Q37</f>
        <v>-4298.380000000001</v>
      </c>
      <c r="T37" s="25"/>
      <c r="U37" s="25"/>
      <c r="V37" s="1275" t="s">
        <v>3030</v>
      </c>
      <c r="W37" s="1276">
        <f>21204.8+1328.44</f>
        <v>22533.239999999998</v>
      </c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>
        <f>+INDEX('Budget original'!$A$2:$AO$501,MATCH($A38,'Budget original'!$A$2:$A$501,0),MATCH(F$2,'Budget original'!$A$2:$AO$2,0))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SUMIFS(BV_Data_An_Cour!$O:$O,BV_Data_An_Cour!$U:$U,$B38,BV_Data_An_Cour!$V:$V,$C38,BV_Data_An_Cour!$W:$W,L$2)</f>
        <v>0</v>
      </c>
      <c r="M38" s="178"/>
      <c r="N38" s="225">
        <f t="shared" si="11"/>
        <v>0</v>
      </c>
      <c r="O38" s="223"/>
      <c r="P38" s="195">
        <f t="shared" si="12"/>
        <v>0</v>
      </c>
      <c r="Q38" s="180">
        <f t="array" ref="Q38">+INDEX('Réel 2024'!$A$2:$AO$501,MATCH($A38,'Réel 2024'!$A$2:$A$501,0),MATCH(Q$2,'Réel 2024'!$A$2:$AO$2,0))</f>
        <v>0</v>
      </c>
      <c r="R38" s="223"/>
      <c r="S38" s="197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>
        <f>+INDEX('Budget original'!$A$2:$AO$501,MATCH($A39,'Budget original'!$A$2:$A$501,0),MATCH(F$2,'Budget original'!$A$2:$AO$2,0))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SUMIFS(BV_Data_An_Cour!$O:$O,BV_Data_An_Cour!$U:$U,$B39,BV_Data_An_Cour!$V:$V,$C39,BV_Data_An_Cour!$W:$W,L$2)</f>
        <v>0</v>
      </c>
      <c r="M39" s="178"/>
      <c r="N39" s="225">
        <f t="shared" si="11"/>
        <v>0</v>
      </c>
      <c r="O39" s="223"/>
      <c r="P39" s="195">
        <f t="shared" si="12"/>
        <v>0</v>
      </c>
      <c r="Q39" s="180">
        <f t="array" ref="Q39">+INDEX('Réel 2024'!$A$2:$AO$501,MATCH($A39,'Réel 2024'!$A$2:$A$501,0),MATCH(Q$2,'Réel 2024'!$A$2:$AO$2,0))</f>
        <v>0</v>
      </c>
      <c r="R39" s="223"/>
      <c r="S39" s="197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>
        <f>+INDEX('Budget original'!$A$2:$AO$501,MATCH($A40,'Budget original'!$A$2:$A$501,0),MATCH(F$2,'Budget original'!$A$2:$AO$2,0))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SUMIFS(BV_Data_An_Cour!$O:$O,BV_Data_An_Cour!$U:$U,$B40,BV_Data_An_Cour!$V:$V,$C40,BV_Data_An_Cour!$W:$W,L$2)</f>
        <v>0</v>
      </c>
      <c r="M40" s="178"/>
      <c r="N40" s="225">
        <f t="shared" si="11"/>
        <v>0</v>
      </c>
      <c r="O40" s="223"/>
      <c r="P40" s="195">
        <f t="shared" si="12"/>
        <v>0</v>
      </c>
      <c r="Q40" s="180">
        <f t="array" ref="Q40">+INDEX('Réel 2024'!$A$2:$AO$501,MATCH($A40,'Réel 2024'!$A$2:$A$501,0),MATCH(Q$2,'Réel 2024'!$A$2:$AO$2,0))</f>
        <v>0</v>
      </c>
      <c r="R40" s="223"/>
      <c r="S40" s="197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0.66152629023797915</v>
      </c>
      <c r="F41" s="41">
        <f>SUM(F31:F40)</f>
        <v>65529.332706617148</v>
      </c>
      <c r="G41" s="42"/>
      <c r="H41" s="40"/>
      <c r="I41" s="41"/>
      <c r="J41" s="42" t="s">
        <v>108</v>
      </c>
      <c r="K41" s="40">
        <f>L41/L$27</f>
        <v>0.97128309067634033</v>
      </c>
      <c r="L41" s="41">
        <f>SUM(L31:L40)</f>
        <v>49780.91</v>
      </c>
      <c r="M41" s="505"/>
      <c r="N41" s="41">
        <f t="shared" si="11"/>
        <v>-15748.422706617144</v>
      </c>
      <c r="O41" s="42" t="s">
        <v>108</v>
      </c>
      <c r="P41" s="40">
        <f>Q41/Q$27</f>
        <v>0.57152236682726987</v>
      </c>
      <c r="Q41" s="504">
        <f>SUM(Q31:Q40)</f>
        <v>101836.25</v>
      </c>
      <c r="R41" s="44"/>
      <c r="S41" s="285">
        <f t="shared" si="13"/>
        <v>-52055.34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>
        <f>+INDEX('Budget original'!$A$2:$AO$501,MATCH($A42,'Budget original'!$A$2:$A$501,0),MATCH(F$2,'Budget original'!$A$2:$AO$2,0))</f>
        <v>12763.084482758622</v>
      </c>
      <c r="G42" s="223"/>
      <c r="H42" s="178"/>
      <c r="I42" s="179"/>
      <c r="J42" s="223"/>
      <c r="K42" s="178"/>
      <c r="L42" s="180">
        <f>SUMIFS(BV_Data_An_Cour!$O:$O,BV_Data_An_Cour!$U:$U,$B42,BV_Data_An_Cour!$V:$V,$C42,BV_Data_An_Cour!$W:$W,L$2)</f>
        <v>10268.969999999999</v>
      </c>
      <c r="M42" s="223"/>
      <c r="N42" s="225">
        <f t="shared" si="11"/>
        <v>-2494.1144827586231</v>
      </c>
      <c r="O42" s="223"/>
      <c r="P42" s="178"/>
      <c r="Q42" s="180">
        <f t="array" ref="Q42">+INDEX('Réel 2024'!$A$2:$AO$501,MATCH($A42,'Réel 2024'!$A$2:$A$501,0),MATCH(Q$2,'Réel 2024'!$A$2:$AO$2,0))</f>
        <v>10172.200000000001</v>
      </c>
      <c r="R42" s="223"/>
      <c r="S42" s="197">
        <f t="shared" ref="S42:S53" si="14">L42-Q42</f>
        <v>96.769999999998618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>
        <f>+INDEX('Budget original'!$A$2:$AO$501,MATCH($A43,'Budget original'!$A$2:$A$501,0),MATCH(F$2,'Budget original'!$A$2:$AO$2,0))</f>
        <v>10418.90459770115</v>
      </c>
      <c r="G43" s="269"/>
      <c r="H43" s="178"/>
      <c r="I43" s="177"/>
      <c r="J43" s="223"/>
      <c r="K43" s="178"/>
      <c r="L43" s="180">
        <f>SUMIFS(BV_Data_An_Cour!$O:$O,BV_Data_An_Cour!$U:$U,$B43,BV_Data_An_Cour!$V:$V,$C43,BV_Data_An_Cour!$W:$W,L$2)</f>
        <v>7244.51</v>
      </c>
      <c r="M43" s="223"/>
      <c r="N43" s="225">
        <f t="shared" si="11"/>
        <v>-3174.3945977011499</v>
      </c>
      <c r="O43" s="223"/>
      <c r="P43" s="178"/>
      <c r="Q43" s="180">
        <f t="array" ref="Q43">+INDEX('Réel 2024'!$A$2:$AO$501,MATCH($A43,'Réel 2024'!$A$2:$A$501,0),MATCH(Q$2,'Réel 2024'!$A$2:$AO$2,0))</f>
        <v>10762.7</v>
      </c>
      <c r="R43" s="223"/>
      <c r="S43" s="197">
        <f t="shared" si="14"/>
        <v>-3518.1900000000005</v>
      </c>
      <c r="T43" s="25"/>
      <c r="U43" s="25"/>
      <c r="V43" s="1275" t="s">
        <v>3033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>
        <f>+INDEX('Budget original'!$A$2:$AO$501,MATCH($A44,'Budget original'!$A$2:$A$501,0),MATCH(F$2,'Budget original'!$A$2:$AO$2,0))</f>
        <v>342</v>
      </c>
      <c r="G44" s="272"/>
      <c r="H44" s="271"/>
      <c r="I44" s="179"/>
      <c r="J44" s="273"/>
      <c r="K44" s="271"/>
      <c r="L44" s="181">
        <f>SUMIFS(BV_Data_An_Cour!$O:$O,BV_Data_An_Cour!$U:$U,$B44,BV_Data_An_Cour!$V:$V,$C44,BV_Data_An_Cour!$W:$W,L$2)</f>
        <v>0</v>
      </c>
      <c r="M44" s="273"/>
      <c r="N44" s="274">
        <f t="shared" si="11"/>
        <v>-342</v>
      </c>
      <c r="O44" s="273"/>
      <c r="P44" s="271"/>
      <c r="Q44" s="181">
        <f t="array" ref="Q44">+INDEX('Réel 2024'!$A$2:$AO$501,MATCH($A44,'Réel 2024'!$A$2:$A$501,0),MATCH(Q$2,'Réel 2024'!$A$2:$AO$2,0))</f>
        <v>342</v>
      </c>
      <c r="R44" s="273"/>
      <c r="S44" s="199">
        <f t="shared" si="14"/>
        <v>-342</v>
      </c>
      <c r="T44" s="25"/>
      <c r="U44" s="25"/>
      <c r="V44" s="1275" t="s">
        <v>3034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>
        <f>+INDEX('Budget original'!$A$2:$AO$501,MATCH($A45,'Budget original'!$A$2:$A$501,0),MATCH(F$2,'Budget original'!$A$2:$AO$2,0))</f>
        <v>0</v>
      </c>
      <c r="G45" s="269"/>
      <c r="H45" s="178"/>
      <c r="I45" s="179"/>
      <c r="J45" s="223"/>
      <c r="K45" s="178"/>
      <c r="L45" s="180">
        <f>SUMIFS(BV_Data_An_Cour!$O:$O,BV_Data_An_Cour!$U:$U,$B45,BV_Data_An_Cour!$V:$V,$C45,BV_Data_An_Cour!$W:$W,L$2)</f>
        <v>0</v>
      </c>
      <c r="M45" s="223"/>
      <c r="N45" s="225">
        <f t="shared" si="11"/>
        <v>0</v>
      </c>
      <c r="O45" s="223"/>
      <c r="P45" s="178"/>
      <c r="Q45" s="180">
        <f t="array" ref="Q45">+INDEX('Réel 2024'!$A$2:$AO$501,MATCH($A45,'Réel 2024'!$A$2:$A$501,0),MATCH(Q$2,'Réel 2024'!$A$2:$AO$2,0))</f>
        <v>0</v>
      </c>
      <c r="R45" s="223"/>
      <c r="S45" s="197">
        <f t="shared" si="14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>
        <f>+INDEX('Budget original'!$A$2:$AO$501,MATCH($A46,'Budget original'!$A$2:$A$501,0),MATCH(F$2,'Budget original'!$A$2:$AO$2,0))</f>
        <v>0</v>
      </c>
      <c r="G46" s="269"/>
      <c r="H46" s="178"/>
      <c r="I46" s="179"/>
      <c r="J46" s="223"/>
      <c r="K46" s="178"/>
      <c r="L46" s="180">
        <f>SUMIFS(BV_Data_An_Cour!$O:$O,BV_Data_An_Cour!$U:$U,$B46,BV_Data_An_Cour!$V:$V,$C46,BV_Data_An_Cour!$W:$W,L$2)</f>
        <v>0</v>
      </c>
      <c r="M46" s="223"/>
      <c r="N46" s="225">
        <f t="shared" si="11"/>
        <v>0</v>
      </c>
      <c r="O46" s="223"/>
      <c r="P46" s="178"/>
      <c r="Q46" s="180">
        <f t="array" ref="Q46">+INDEX('Réel 2024'!$A$2:$AO$501,MATCH($A46,'Réel 2024'!$A$2:$A$501,0),MATCH(Q$2,'Réel 2024'!$A$2:$AO$2,0))</f>
        <v>0</v>
      </c>
      <c r="R46" s="223"/>
      <c r="S46" s="197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>
        <f>+INDEX('Budget original'!$A$2:$AO$501,MATCH($A47,'Budget original'!$A$2:$A$501,0),MATCH(F$2,'Budget original'!$A$2:$AO$2,0))</f>
        <v>0</v>
      </c>
      <c r="G47" s="269"/>
      <c r="H47" s="178"/>
      <c r="I47" s="179"/>
      <c r="J47" s="223"/>
      <c r="K47" s="178"/>
      <c r="L47" s="180">
        <f>SUMIFS(BV_Data_An_Cour!$O:$O,BV_Data_An_Cour!$U:$U,$B47,BV_Data_An_Cour!$V:$V,$C47,BV_Data_An_Cour!$W:$W,L$2)</f>
        <v>0</v>
      </c>
      <c r="M47" s="223"/>
      <c r="N47" s="225">
        <f t="shared" si="11"/>
        <v>0</v>
      </c>
      <c r="O47" s="223"/>
      <c r="P47" s="178"/>
      <c r="Q47" s="180">
        <f t="array" ref="Q47">+INDEX('Réel 2024'!$A$2:$AO$501,MATCH($A47,'Réel 2024'!$A$2:$A$501,0),MATCH(Q$2,'Réel 2024'!$A$2:$AO$2,0))</f>
        <v>0</v>
      </c>
      <c r="R47" s="223"/>
      <c r="S47" s="197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>
        <f>+INDEX('Budget original'!$A$2:$AO$501,MATCH($A48,'Budget original'!$A$2:$A$501,0),MATCH(F$2,'Budget original'!$A$2:$AO$2,0))</f>
        <v>0</v>
      </c>
      <c r="G48" s="269"/>
      <c r="H48" s="178"/>
      <c r="I48" s="179"/>
      <c r="J48" s="223"/>
      <c r="K48" s="178"/>
      <c r="L48" s="180">
        <f>SUMIFS(BV_Data_An_Cour!$O:$O,BV_Data_An_Cour!$U:$U,$B48,BV_Data_An_Cour!$V:$V,$C48,BV_Data_An_Cour!$W:$W,L$2)</f>
        <v>0</v>
      </c>
      <c r="M48" s="223"/>
      <c r="N48" s="225">
        <f t="shared" si="11"/>
        <v>0</v>
      </c>
      <c r="O48" s="223"/>
      <c r="P48" s="178"/>
      <c r="Q48" s="180">
        <f t="array" ref="Q48">+INDEX('Réel 2024'!$A$2:$AO$501,MATCH($A48,'Réel 2024'!$A$2:$A$501,0),MATCH(Q$2,'Réel 2024'!$A$2:$AO$2,0))</f>
        <v>0</v>
      </c>
      <c r="R48" s="223"/>
      <c r="S48" s="197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>
        <f>+INDEX('Budget original'!$A$2:$AO$501,MATCH($A49,'Budget original'!$A$2:$A$501,0),MATCH(F$2,'Budget original'!$A$2:$AO$2,0))</f>
        <v>11141.725772760459</v>
      </c>
      <c r="G49" s="269"/>
      <c r="H49" s="178"/>
      <c r="I49" s="177"/>
      <c r="J49" s="223"/>
      <c r="K49" s="178"/>
      <c r="L49" s="177">
        <f>SUMIFS(BV_Data_An_Cour!$O:$O,BV_Data_An_Cour!$U:$U,$B49,BV_Data_An_Cour!$V:$V,$C49,BV_Data_An_Cour!$W:$W,L$2)</f>
        <v>179.64</v>
      </c>
      <c r="M49" s="223"/>
      <c r="N49" s="225">
        <f t="shared" si="11"/>
        <v>-10962.08577276046</v>
      </c>
      <c r="O49" s="223"/>
      <c r="P49" s="178"/>
      <c r="Q49" s="177">
        <f t="array" ref="Q49">+INDEX('Réel 2024'!$A$2:$AO$501,MATCH($A49,'Réel 2024'!$A$2:$A$501,0),MATCH(Q$2,'Réel 2024'!$A$2:$AO$2,0))</f>
        <v>14638.9</v>
      </c>
      <c r="R49" s="223"/>
      <c r="S49" s="197">
        <f t="shared" si="14"/>
        <v>-14459.26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>
        <f>+INDEX('Budget original'!$A$2:$AO$501,MATCH($A50,'Budget original'!$A$2:$A$501,0),MATCH(F$2,'Budget original'!$A$2:$AO$2,0))</f>
        <v>6684.795919975616</v>
      </c>
      <c r="G50" s="272"/>
      <c r="H50" s="271"/>
      <c r="I50" s="179"/>
      <c r="J50" s="273"/>
      <c r="K50" s="271"/>
      <c r="L50" s="180">
        <f>SUMIFS(BV_Data_An_Cour!$O:$O,BV_Data_An_Cour!$U:$U,$B50,BV_Data_An_Cour!$V:$V,$C50,BV_Data_An_Cour!$W:$W,L$2)</f>
        <v>6796.55</v>
      </c>
      <c r="M50" s="273"/>
      <c r="N50" s="274">
        <f t="shared" si="11"/>
        <v>111.75408002438417</v>
      </c>
      <c r="O50" s="273"/>
      <c r="P50" s="271"/>
      <c r="Q50" s="180">
        <f t="array" ref="Q50">+INDEX('Réel 2024'!$A$2:$AO$501,MATCH($A50,'Réel 2024'!$A$2:$A$501,0),MATCH(Q$2,'Réel 2024'!$A$2:$AO$2,0))</f>
        <v>8819.43</v>
      </c>
      <c r="R50" s="273"/>
      <c r="S50" s="199">
        <f t="shared" si="14"/>
        <v>-2022.88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>
        <f>+INDEX('Budget original'!$A$2:$AO$501,MATCH($A51,'Budget original'!$A$2:$A$501,0),MATCH(F$2,'Budget original'!$A$2:$AO$2,0))</f>
        <v>4104.6992491078345</v>
      </c>
      <c r="G51" s="269"/>
      <c r="H51" s="178"/>
      <c r="I51" s="179"/>
      <c r="J51" s="223"/>
      <c r="K51" s="178"/>
      <c r="L51" s="180">
        <f>SUMIFS(BV_Data_An_Cour!$O:$O,BV_Data_An_Cour!$U:$U,$B51,BV_Data_An_Cour!$V:$V,$C51,BV_Data_An_Cour!$W:$W,L$2)</f>
        <v>3722.69</v>
      </c>
      <c r="M51" s="223"/>
      <c r="N51" s="225">
        <f t="shared" si="11"/>
        <v>-382.00924910783442</v>
      </c>
      <c r="O51" s="223"/>
      <c r="P51" s="178"/>
      <c r="Q51" s="180">
        <f t="array" ref="Q51">+INDEX('Réel 2024'!$A$2:$AO$501,MATCH($A51,'Réel 2024'!$A$2:$A$501,0),MATCH(Q$2,'Réel 2024'!$A$2:$AO$2,0))</f>
        <v>6289</v>
      </c>
      <c r="R51" s="223"/>
      <c r="S51" s="197">
        <f t="shared" si="14"/>
        <v>-2566.31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>
        <f>+INDEX('Budget original'!$A$2:$AO$501,MATCH($A52,'Budget original'!$A$2:$A$501,0),MATCH(F$2,'Budget original'!$A$2:$AO$2,0))</f>
        <v>879.57841052310732</v>
      </c>
      <c r="G52" s="269"/>
      <c r="H52" s="178"/>
      <c r="I52" s="179"/>
      <c r="J52" s="223"/>
      <c r="K52" s="178"/>
      <c r="L52" s="180">
        <f>SUMIFS(BV_Data_An_Cour!$O:$O,BV_Data_An_Cour!$U:$U,$B52,BV_Data_An_Cour!$V:$V,$C52,BV_Data_An_Cour!$W:$W,L$2)</f>
        <v>1572.23</v>
      </c>
      <c r="M52" s="223"/>
      <c r="N52" s="225">
        <f t="shared" si="11"/>
        <v>692.6515894768927</v>
      </c>
      <c r="O52" s="223"/>
      <c r="P52" s="178"/>
      <c r="Q52" s="180">
        <f t="array" ref="Q52">+INDEX('Réel 2024'!$A$2:$AO$501,MATCH($A52,'Réel 2024'!$A$2:$A$501,0),MATCH(Q$2,'Réel 2024'!$A$2:$AO$2,0))</f>
        <v>124.53</v>
      </c>
      <c r="R52" s="223"/>
      <c r="S52" s="197">
        <f t="shared" si="14"/>
        <v>1447.7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 t="e">
        <f>VLOOKUP(C53,$B$2:$B$46,1,FALSE)</f>
        <v>#N/A</v>
      </c>
      <c r="E53" s="276"/>
      <c r="F53" s="179">
        <f>+INDEX('Budget original'!$A$2:$AO$501,MATCH($A53,'Budget original'!$A$2:$A$501,0),MATCH(F$2,'Budget original'!$A$2:$AO$2,0))</f>
        <v>0</v>
      </c>
      <c r="G53" s="277"/>
      <c r="H53" s="276"/>
      <c r="I53" s="179"/>
      <c r="J53" s="278"/>
      <c r="K53" s="276"/>
      <c r="L53" s="180">
        <f>SUMIFS(BV_Data_An_Cour!$O:$O,BV_Data_An_Cour!$U:$U,$B53,BV_Data_An_Cour!$V:$V,$C53,BV_Data_An_Cour!$W:$W,L$2)</f>
        <v>0</v>
      </c>
      <c r="M53" s="278"/>
      <c r="N53" s="279">
        <f t="shared" si="11"/>
        <v>0</v>
      </c>
      <c r="O53" s="278"/>
      <c r="P53" s="276"/>
      <c r="Q53" s="180">
        <f t="array" ref="Q53">+INDEX('Réel 2024'!$A$2:$AO$501,MATCH($A53,'Réel 2024'!$A$2:$A$501,0),MATCH(Q$2,'Réel 2024'!$A$2:$AO$2,0))</f>
        <v>0</v>
      </c>
      <c r="R53" s="278"/>
      <c r="S53" s="200">
        <f t="shared" si="14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0.46775511721080493</v>
      </c>
      <c r="F54" s="41">
        <f>+SUM(F42:F53)</f>
        <v>46334.78843282679</v>
      </c>
      <c r="G54" s="42"/>
      <c r="H54" s="40"/>
      <c r="I54" s="41"/>
      <c r="J54" s="42" t="s">
        <v>108</v>
      </c>
      <c r="K54" s="40">
        <f>L54/L$27</f>
        <v>0.58113177580979558</v>
      </c>
      <c r="L54" s="41">
        <f>+SUM(L42:L53)</f>
        <v>29784.589999999997</v>
      </c>
      <c r="M54" s="44"/>
      <c r="N54" s="41">
        <f>+SUM(N42:N53)</f>
        <v>-16550.19843282679</v>
      </c>
      <c r="O54" s="42" t="s">
        <v>108</v>
      </c>
      <c r="P54" s="40">
        <f>Q54/Q$27</f>
        <v>0.28705554628612101</v>
      </c>
      <c r="Q54" s="41">
        <f>+SUM(Q42:Q53)</f>
        <v>51148.76</v>
      </c>
      <c r="R54" s="44"/>
      <c r="S54" s="285">
        <f>+SUM(S42:S53)</f>
        <v>-21364.170000000002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>
        <f>+INDEX('Budget original'!$A$2:$AO$501,MATCH($A55,'Budget original'!$A$2:$A$501,0),MATCH(F$2,'Budget original'!$A$2:$AO$2,0))</f>
        <v>0</v>
      </c>
      <c r="G55" s="269"/>
      <c r="H55" s="178"/>
      <c r="I55" s="179"/>
      <c r="J55" s="223"/>
      <c r="K55" s="178"/>
      <c r="L55" s="180">
        <f>SUMIFS(BV_Data_An_Cour!$O:$O,BV_Data_An_Cour!$U:$U,$B55,BV_Data_An_Cour!$V:$V,$C55,BV_Data_An_Cour!$W:$W,L$2)</f>
        <v>0</v>
      </c>
      <c r="M55" s="223"/>
      <c r="N55" s="225">
        <f t="shared" ref="N55:N71" si="15">L55-F55</f>
        <v>0</v>
      </c>
      <c r="O55" s="223"/>
      <c r="P55" s="178"/>
      <c r="Q55" s="180">
        <f t="array" ref="Q55">+INDEX('Réel 2024'!$A$2:$AO$501,MATCH($A55,'Réel 2024'!$A$2:$A$501,0),MATCH(Q$2,'Réel 2024'!$A$2:$AO$2,0))</f>
        <v>0</v>
      </c>
      <c r="R55" s="223"/>
      <c r="S55" s="197">
        <f t="shared" ref="S55:S71" si="16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>
        <f>+INDEX('Budget original'!$A$2:$AO$501,MATCH($A56,'Budget original'!$A$2:$A$501,0),MATCH(F$2,'Budget original'!$A$2:$AO$2,0))</f>
        <v>0</v>
      </c>
      <c r="G56" s="269"/>
      <c r="H56" s="178"/>
      <c r="I56" s="179"/>
      <c r="J56" s="223"/>
      <c r="K56" s="178"/>
      <c r="L56" s="180">
        <f>SUMIFS(BV_Data_An_Cour!$O:$O,BV_Data_An_Cour!$U:$U,$B56,BV_Data_An_Cour!$V:$V,$C56,BV_Data_An_Cour!$W:$W,L$2)</f>
        <v>0</v>
      </c>
      <c r="M56" s="223"/>
      <c r="N56" s="225">
        <f t="shared" si="15"/>
        <v>0</v>
      </c>
      <c r="O56" s="223"/>
      <c r="P56" s="178"/>
      <c r="Q56" s="180">
        <f t="array" ref="Q56">+INDEX('Réel 2024'!$A$2:$AO$501,MATCH($A56,'Réel 2024'!$A$2:$A$501,0),MATCH(Q$2,'Réel 2024'!$A$2:$AO$2,0))</f>
        <v>0</v>
      </c>
      <c r="R56" s="223"/>
      <c r="S56" s="197">
        <f t="shared" si="16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f>+INDEX('Budget original'!$A$2:$AO$501,MATCH($A57,'Budget original'!$A$2:$A$501,0),MATCH(F$2,'Budget original'!$A$2:$AO$2,0))</f>
        <v>6620.9333333333325</v>
      </c>
      <c r="G57" s="277"/>
      <c r="H57" s="276"/>
      <c r="I57" s="177"/>
      <c r="J57" s="278"/>
      <c r="K57" s="276"/>
      <c r="L57" s="177">
        <f>SUMIFS(BV_Data_An_Cour!$O:$O,BV_Data_An_Cour!$U:$U,$B57,BV_Data_An_Cour!$V:$V,$C57,BV_Data_An_Cour!$W:$W,L$2)</f>
        <v>2004.38</v>
      </c>
      <c r="M57" s="278"/>
      <c r="N57" s="279">
        <f t="shared" si="15"/>
        <v>-4616.5533333333324</v>
      </c>
      <c r="O57" s="278"/>
      <c r="P57" s="276"/>
      <c r="Q57" s="177">
        <f t="array" ref="Q57">+INDEX('Réel 2024'!$A$2:$AO$501,MATCH($A57,'Réel 2024'!$A$2:$A$501,0),MATCH(Q$2,'Réel 2024'!$A$2:$AO$2,0))</f>
        <v>10008.93</v>
      </c>
      <c r="R57" s="278"/>
      <c r="S57" s="200">
        <f t="shared" si="16"/>
        <v>-8004.55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>
        <f>+INDEX('Budget original'!$A$2:$AO$501,MATCH($A58,'Budget original'!$A$2:$A$501,0),MATCH(F$2,'Budget original'!$A$2:$AO$2,0))</f>
        <v>4878.3</v>
      </c>
      <c r="G58" s="269"/>
      <c r="H58" s="178"/>
      <c r="I58" s="179"/>
      <c r="J58" s="223"/>
      <c r="K58" s="178"/>
      <c r="L58" s="180">
        <f>SUMIFS(BV_Data_An_Cour!$O:$O,BV_Data_An_Cour!$U:$U,$B58,BV_Data_An_Cour!$V:$V,$C58,BV_Data_An_Cour!$W:$W,L$2)</f>
        <v>5491.56</v>
      </c>
      <c r="M58" s="223"/>
      <c r="N58" s="225">
        <f t="shared" si="15"/>
        <v>613.26000000000022</v>
      </c>
      <c r="O58" s="223"/>
      <c r="P58" s="178"/>
      <c r="Q58" s="180">
        <f t="array" ref="Q58">+INDEX('Réel 2024'!$A$2:$AO$501,MATCH($A58,'Réel 2024'!$A$2:$A$501,0),MATCH(Q$2,'Réel 2024'!$A$2:$AO$2,0))</f>
        <v>4493.79</v>
      </c>
      <c r="R58" s="223"/>
      <c r="S58" s="197">
        <f t="shared" si="16"/>
        <v>997.77000000000044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>
        <f>+INDEX('Budget original'!$A$2:$AO$501,MATCH($A59,'Budget original'!$A$2:$A$501,0),MATCH(F$2,'Budget original'!$A$2:$AO$2,0))</f>
        <v>825</v>
      </c>
      <c r="G59" s="269"/>
      <c r="H59" s="178"/>
      <c r="I59" s="179"/>
      <c r="J59" s="223"/>
      <c r="K59" s="178"/>
      <c r="L59" s="180">
        <f>SUMIFS(BV_Data_An_Cour!$O:$O,BV_Data_An_Cour!$U:$U,$B59,BV_Data_An_Cour!$V:$V,$C59,BV_Data_An_Cour!$W:$W,L$2)</f>
        <v>229.19</v>
      </c>
      <c r="M59" s="223"/>
      <c r="N59" s="225">
        <f t="shared" si="15"/>
        <v>-595.80999999999995</v>
      </c>
      <c r="O59" s="223"/>
      <c r="P59" s="178"/>
      <c r="Q59" s="180">
        <f t="array" ref="Q59">+INDEX('Réel 2024'!$A$2:$AO$501,MATCH($A59,'Réel 2024'!$A$2:$A$501,0),MATCH(Q$2,'Réel 2024'!$A$2:$AO$2,0))</f>
        <v>1127.21</v>
      </c>
      <c r="R59" s="223"/>
      <c r="S59" s="197">
        <f t="shared" si="16"/>
        <v>-898.02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f>+INDEX('Budget original'!$A$2:$AO$501,MATCH($A60,'Budget original'!$A$2:$A$501,0),MATCH(F$2,'Budget original'!$A$2:$AO$2,0))</f>
        <v>3314.7000000000003</v>
      </c>
      <c r="G60" s="277"/>
      <c r="H60" s="276"/>
      <c r="I60" s="177"/>
      <c r="J60" s="278"/>
      <c r="K60" s="276"/>
      <c r="L60" s="177">
        <f>SUMIFS(BV_Data_An_Cour!$O:$O,BV_Data_An_Cour!$U:$U,$B60,BV_Data_An_Cour!$V:$V,$C60,BV_Data_An_Cour!$W:$W,L$2)</f>
        <v>4998.7700000000004</v>
      </c>
      <c r="M60" s="278"/>
      <c r="N60" s="279">
        <f t="shared" si="15"/>
        <v>1684.0700000000002</v>
      </c>
      <c r="O60" s="278"/>
      <c r="P60" s="276"/>
      <c r="Q60" s="177">
        <f t="array" ref="Q60">+INDEX('Réel 2024'!$A$2:$AO$501,MATCH($A60,'Réel 2024'!$A$2:$A$501,0),MATCH(Q$2,'Réel 2024'!$A$2:$AO$2,0))</f>
        <v>4492.53</v>
      </c>
      <c r="R60" s="278"/>
      <c r="S60" s="200">
        <f t="shared" si="16"/>
        <v>506.24000000000069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>
        <f>+INDEX('Budget original'!$A$2:$AO$501,MATCH($A61,'Budget original'!$A$2:$A$501,0),MATCH(F$2,'Budget original'!$A$2:$AO$2,0))</f>
        <v>40</v>
      </c>
      <c r="G61" s="269"/>
      <c r="H61" s="178"/>
      <c r="I61" s="179"/>
      <c r="J61" s="223"/>
      <c r="K61" s="178"/>
      <c r="L61" s="180">
        <f>SUMIFS(BV_Data_An_Cour!$O:$O,BV_Data_An_Cour!$U:$U,$B61,BV_Data_An_Cour!$V:$V,$C61,BV_Data_An_Cour!$W:$W,L$2)</f>
        <v>13.12</v>
      </c>
      <c r="M61" s="223"/>
      <c r="N61" s="225">
        <f t="shared" si="15"/>
        <v>-26.880000000000003</v>
      </c>
      <c r="O61" s="223"/>
      <c r="P61" s="178"/>
      <c r="Q61" s="180">
        <f t="array" ref="Q61">+INDEX('Réel 2024'!$A$2:$AO$501,MATCH($A61,'Réel 2024'!$A$2:$A$501,0),MATCH(Q$2,'Réel 2024'!$A$2:$AO$2,0))</f>
        <v>486.48</v>
      </c>
      <c r="R61" s="223"/>
      <c r="S61" s="197">
        <f t="shared" si="16"/>
        <v>-473.36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>
        <f>+INDEX('Budget original'!$A$2:$AO$501,MATCH($A62,'Budget original'!$A$2:$A$501,0),MATCH(F$2,'Budget original'!$A$2:$AO$2,0))</f>
        <v>30</v>
      </c>
      <c r="G62" s="269"/>
      <c r="H62" s="178"/>
      <c r="I62" s="179"/>
      <c r="J62" s="223"/>
      <c r="K62" s="178"/>
      <c r="L62" s="180">
        <f>SUMIFS(BV_Data_An_Cour!$O:$O,BV_Data_An_Cour!$U:$U,$B62,BV_Data_An_Cour!$V:$V,$C62,BV_Data_An_Cour!$W:$W,L$2)</f>
        <v>0</v>
      </c>
      <c r="M62" s="223"/>
      <c r="N62" s="225">
        <f t="shared" si="15"/>
        <v>-30</v>
      </c>
      <c r="O62" s="223"/>
      <c r="P62" s="178"/>
      <c r="Q62" s="180">
        <f t="array" ref="Q62">+INDEX('Réel 2024'!$A$2:$AO$501,MATCH($A62,'Réel 2024'!$A$2:$A$501,0),MATCH(Q$2,'Réel 2024'!$A$2:$AO$2,0))</f>
        <v>0</v>
      </c>
      <c r="R62" s="223"/>
      <c r="S62" s="197">
        <f t="shared" si="16"/>
        <v>0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>
        <f>+INDEX('Budget original'!$A$2:$AO$501,MATCH($A63,'Budget original'!$A$2:$A$501,0),MATCH(F$2,'Budget original'!$A$2:$AO$2,0))</f>
        <v>708.75</v>
      </c>
      <c r="G63" s="269"/>
      <c r="H63" s="178"/>
      <c r="I63" s="179"/>
      <c r="J63" s="223"/>
      <c r="K63" s="178"/>
      <c r="L63" s="473">
        <f>SUMIFS(BV_Data_An_Cour!$O:$O,BV_Data_An_Cour!$U:$U,$B63,BV_Data_An_Cour!$V:$V,$C63,BV_Data_An_Cour!$W:$W,L$2)</f>
        <v>170.18</v>
      </c>
      <c r="M63" s="223"/>
      <c r="N63" s="225">
        <f t="shared" si="15"/>
        <v>-538.56999999999994</v>
      </c>
      <c r="O63" s="223"/>
      <c r="P63" s="178"/>
      <c r="Q63" s="473">
        <f t="array" ref="Q63">+INDEX('Réel 2024'!$A$2:$AO$501,MATCH($A63,'Réel 2024'!$A$2:$A$501,0),MATCH(Q$2,'Réel 2024'!$A$2:$AO$2,0))</f>
        <v>483.35</v>
      </c>
      <c r="R63" s="223"/>
      <c r="S63" s="197">
        <f t="shared" si="16"/>
        <v>-313.17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>
        <f>+INDEX('Budget original'!$A$2:$AO$501,MATCH($A64,'Budget original'!$A$2:$A$501,0),MATCH(F$2,'Budget original'!$A$2:$AO$2,0))</f>
        <v>210.4</v>
      </c>
      <c r="G64" s="269"/>
      <c r="H64" s="178"/>
      <c r="I64" s="179"/>
      <c r="J64" s="223"/>
      <c r="K64" s="178"/>
      <c r="L64" s="180">
        <f>SUMIFS(BV_Data_An_Cour!$O:$O,BV_Data_An_Cour!$U:$U,$B64,BV_Data_An_Cour!$V:$V,$C64,BV_Data_An_Cour!$W:$W,L$2)</f>
        <v>350.52</v>
      </c>
      <c r="M64" s="223"/>
      <c r="N64" s="225">
        <f t="shared" si="15"/>
        <v>140.11999999999998</v>
      </c>
      <c r="O64" s="223"/>
      <c r="P64" s="178"/>
      <c r="Q64" s="180">
        <f t="array" ref="Q64">+INDEX('Réel 2024'!$A$2:$AO$501,MATCH($A64,'Réel 2024'!$A$2:$A$501,0),MATCH(Q$2,'Réel 2024'!$A$2:$AO$2,0))</f>
        <v>190.85</v>
      </c>
      <c r="R64" s="223"/>
      <c r="S64" s="197">
        <f t="shared" si="16"/>
        <v>159.66999999999999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>
        <f>+INDEX('Budget original'!$A$2:$AO$501,MATCH($A65,'Budget original'!$A$2:$A$501,0),MATCH(F$2,'Budget original'!$A$2:$AO$2,0))</f>
        <v>202.5</v>
      </c>
      <c r="G65" s="269"/>
      <c r="H65" s="178"/>
      <c r="I65" s="179"/>
      <c r="J65" s="223"/>
      <c r="K65" s="178"/>
      <c r="L65" s="180">
        <f>SUMIFS(BV_Data_An_Cour!$O:$O,BV_Data_An_Cour!$U:$U,$B65,BV_Data_An_Cour!$V:$V,$C65,BV_Data_An_Cour!$W:$W,L$2)</f>
        <v>88.66</v>
      </c>
      <c r="M65" s="223"/>
      <c r="N65" s="225">
        <f t="shared" si="15"/>
        <v>-113.84</v>
      </c>
      <c r="O65" s="223"/>
      <c r="P65" s="178"/>
      <c r="Q65" s="180">
        <f t="array" ref="Q65">+INDEX('Réel 2024'!$A$2:$AO$501,MATCH($A65,'Réel 2024'!$A$2:$A$501,0),MATCH(Q$2,'Réel 2024'!$A$2:$AO$2,0))</f>
        <v>242.21</v>
      </c>
      <c r="R65" s="223"/>
      <c r="S65" s="197">
        <f t="shared" si="16"/>
        <v>-153.55000000000001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>
        <f>+INDEX('Budget original'!$A$2:$AO$501,MATCH($A66,'Budget original'!$A$2:$A$501,0),MATCH(F$2,'Budget original'!$A$2:$AO$2,0))</f>
        <v>783.45</v>
      </c>
      <c r="G66" s="269"/>
      <c r="H66" s="178"/>
      <c r="I66" s="179"/>
      <c r="J66" s="223"/>
      <c r="K66" s="178"/>
      <c r="L66" s="180">
        <f>SUMIFS(BV_Data_An_Cour!$O:$O,BV_Data_An_Cour!$U:$U,$B66,BV_Data_An_Cour!$V:$V,$C66,BV_Data_An_Cour!$W:$W,L$2)</f>
        <v>203.99</v>
      </c>
      <c r="M66" s="223"/>
      <c r="N66" s="225">
        <f t="shared" si="15"/>
        <v>-579.46</v>
      </c>
      <c r="O66" s="223"/>
      <c r="P66" s="178"/>
      <c r="Q66" s="180">
        <f t="array" ref="Q66">+INDEX('Réel 2024'!$A$2:$AO$501,MATCH($A66,'Réel 2024'!$A$2:$A$501,0),MATCH(Q$2,'Réel 2024'!$A$2:$AO$2,0))</f>
        <v>1075.4099999999901</v>
      </c>
      <c r="R66" s="223"/>
      <c r="S66" s="197">
        <f t="shared" si="16"/>
        <v>-871.41999999999007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>
        <f>+INDEX('Budget original'!$A$2:$AO$501,MATCH($A67,'Budget original'!$A$2:$A$501,0),MATCH(F$2,'Budget original'!$A$2:$AO$2,0))</f>
        <v>558.18350999999984</v>
      </c>
      <c r="G67" s="269"/>
      <c r="H67" s="178"/>
      <c r="I67" s="179"/>
      <c r="J67" s="223"/>
      <c r="K67" s="178"/>
      <c r="L67" s="180">
        <f>SUMIFS(BV_Data_An_Cour!$O:$O,BV_Data_An_Cour!$U:$U,$B67,BV_Data_An_Cour!$V:$V,$C67,BV_Data_An_Cour!$W:$W,L$2)</f>
        <v>925.53</v>
      </c>
      <c r="M67" s="223"/>
      <c r="N67" s="225">
        <f t="shared" si="15"/>
        <v>367.34649000000013</v>
      </c>
      <c r="O67" s="223"/>
      <c r="P67" s="178"/>
      <c r="Q67" s="180">
        <f t="array" ref="Q67">+INDEX('Réel 2024'!$A$2:$AO$501,MATCH($A67,'Réel 2024'!$A$2:$A$501,0),MATCH(Q$2,'Réel 2024'!$A$2:$AO$2,0))</f>
        <v>331.76</v>
      </c>
      <c r="R67" s="223"/>
      <c r="S67" s="197">
        <f>L67-Q67</f>
        <v>593.77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>
        <f>+INDEX('Budget original'!$A$2:$AO$501,MATCH($A68,'Budget original'!$A$2:$A$501,0),MATCH(F$2,'Budget original'!$A$2:$AO$2,0))</f>
        <v>2142.5664258565575</v>
      </c>
      <c r="G68" s="269"/>
      <c r="H68" s="178"/>
      <c r="I68" s="179"/>
      <c r="J68" s="223"/>
      <c r="K68" s="178"/>
      <c r="L68" s="473">
        <f>SUMIFS(BV_Data_An_Cour!$O:$O,BV_Data_An_Cour!$U:$U,$B68,BV_Data_An_Cour!$V:$V,$C68,BV_Data_An_Cour!$W:$W,L$2)</f>
        <v>2301.85</v>
      </c>
      <c r="M68" s="223"/>
      <c r="N68" s="225">
        <f t="shared" si="15"/>
        <v>159.28357414344237</v>
      </c>
      <c r="O68" s="223"/>
      <c r="P68" s="178"/>
      <c r="Q68" s="180">
        <f t="array" ref="Q68">+INDEX('Réel 2024'!$A$2:$AO$501,MATCH($A68,'Réel 2024'!$A$2:$A$501,0),MATCH(Q$2,'Réel 2024'!$A$2:$AO$2,0))</f>
        <v>2556.62</v>
      </c>
      <c r="R68" s="223"/>
      <c r="S68" s="197">
        <f>L68-Q68</f>
        <v>-254.76999999999998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>
        <f>+INDEX('Budget original'!$A$2:$AO$501,MATCH($A69,'Budget original'!$A$2:$A$501,0),MATCH(F$2,'Budget original'!$A$2:$AO$2,0))</f>
        <v>0</v>
      </c>
      <c r="G69" s="269"/>
      <c r="H69" s="178"/>
      <c r="I69" s="179"/>
      <c r="J69" s="223"/>
      <c r="K69" s="178"/>
      <c r="L69" s="180"/>
      <c r="M69" s="223"/>
      <c r="N69" s="225">
        <f t="shared" si="15"/>
        <v>0</v>
      </c>
      <c r="O69" s="223"/>
      <c r="P69" s="178"/>
      <c r="Q69" s="180">
        <f t="array" ref="Q69">+INDEX('Réel 2024'!$A$2:$AO$501,MATCH($A69,'Réel 2024'!$A$2:$A$501,0),MATCH(Q$2,'Réel 2024'!$A$2:$AO$2,0))</f>
        <v>0</v>
      </c>
      <c r="R69" s="223"/>
      <c r="S69" s="197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>
        <f>+INDEX('Budget original'!$A$2:$AO$501,MATCH($A70,'Budget original'!$A$2:$A$501,0),MATCH(F$2,'Budget original'!$A$2:$AO$2,0))</f>
        <v>0</v>
      </c>
      <c r="G70" s="269"/>
      <c r="H70" s="178"/>
      <c r="I70" s="179"/>
      <c r="J70" s="223"/>
      <c r="K70" s="178"/>
      <c r="L70" s="180">
        <f>SUMIFS(BV_Data_An_Cour!$O:$O,BV_Data_An_Cour!$U:$U,$B70,BV_Data_An_Cour!$V:$V,$C70,BV_Data_An_Cour!$W:$W,L$2)</f>
        <v>0</v>
      </c>
      <c r="M70" s="223"/>
      <c r="N70" s="225">
        <f t="shared" si="15"/>
        <v>0</v>
      </c>
      <c r="O70" s="223"/>
      <c r="P70" s="178"/>
      <c r="Q70" s="180">
        <f t="array" ref="Q70">+INDEX('Réel 2024'!$A$2:$AO$501,MATCH($A70,'Réel 2024'!$A$2:$A$501,0),MATCH(Q$2,'Réel 2024'!$A$2:$AO$2,0))</f>
        <v>0</v>
      </c>
      <c r="R70" s="223"/>
      <c r="S70" s="197">
        <f t="shared" si="16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>
        <f>+INDEX('Budget original'!$A$2:$AO$501,MATCH($A71,'Budget original'!$A$2:$A$501,0),MATCH(F$2,'Budget original'!$A$2:$AO$2,0))</f>
        <v>0</v>
      </c>
      <c r="G71" s="269"/>
      <c r="H71" s="178"/>
      <c r="I71" s="179"/>
      <c r="J71" s="223"/>
      <c r="K71" s="178"/>
      <c r="L71" s="180">
        <f>SUMIFS(BV_Data_An_Cour!$O:$O,BV_Data_An_Cour!$U:$U,$B71,BV_Data_An_Cour!$V:$V,$C71,BV_Data_An_Cour!$W:$W,L$2)*0.32</f>
        <v>0</v>
      </c>
      <c r="M71" s="223"/>
      <c r="N71" s="225">
        <f t="shared" si="15"/>
        <v>0</v>
      </c>
      <c r="O71" s="223"/>
      <c r="P71" s="178"/>
      <c r="Q71" s="180">
        <f t="array" ref="Q71">+INDEX('Réel 2024'!$A$2:$AO$501,MATCH($A71,'Réel 2024'!$A$2:$A$501,0),MATCH(Q$2,'Réel 2024'!$A$2:$AO$2,0))</f>
        <v>0</v>
      </c>
      <c r="R71" s="223"/>
      <c r="S71" s="197">
        <f t="shared" si="16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0.20508011691836919</v>
      </c>
      <c r="F72" s="41">
        <f>+SUM(F55:F71)</f>
        <v>20314.783269189895</v>
      </c>
      <c r="G72" s="42"/>
      <c r="H72" s="40"/>
      <c r="I72" s="41"/>
      <c r="J72" s="42" t="s">
        <v>108</v>
      </c>
      <c r="K72" s="40">
        <f>L72/L$27</f>
        <v>0.32735329415623321</v>
      </c>
      <c r="L72" s="41">
        <f>+SUM(L55:L71)</f>
        <v>16777.750000000004</v>
      </c>
      <c r="M72" s="44"/>
      <c r="N72" s="41">
        <f>+SUM(N55:N71)</f>
        <v>-3537.0332691898907</v>
      </c>
      <c r="O72" s="42" t="s">
        <v>108</v>
      </c>
      <c r="P72" s="40">
        <f>Q72/Q$27</f>
        <v>0.14304939175580039</v>
      </c>
      <c r="Q72" s="41">
        <f>+SUM(Q55:Q71)</f>
        <v>25489.139999999981</v>
      </c>
      <c r="R72" s="44"/>
      <c r="S72" s="285">
        <f>+SUM(S55:S71)</f>
        <v>-8711.3899999999885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1.3343615243671532</v>
      </c>
      <c r="F74" s="41">
        <f>F41+F54+F72</f>
        <v>132178.90440863383</v>
      </c>
      <c r="G74" s="42"/>
      <c r="H74" s="40"/>
      <c r="I74" s="41"/>
      <c r="J74" s="42" t="s">
        <v>108</v>
      </c>
      <c r="K74" s="40">
        <f>L74/L$27</f>
        <v>1.8797681606423691</v>
      </c>
      <c r="L74" s="41">
        <f>L41+L54+L72</f>
        <v>96343.25</v>
      </c>
      <c r="M74" s="44"/>
      <c r="N74" s="46">
        <f t="shared" ref="N74:N82" si="17">L74-F74</f>
        <v>-35835.654408633825</v>
      </c>
      <c r="O74" s="42" t="s">
        <v>108</v>
      </c>
      <c r="P74" s="40">
        <f>Q74/Q$27</f>
        <v>1.0016273048691913</v>
      </c>
      <c r="Q74" s="41">
        <f>Q41+Q54+Q72</f>
        <v>178474.15</v>
      </c>
      <c r="R74" s="44"/>
      <c r="S74" s="281">
        <f>L74-Q74</f>
        <v>-82130.899999999994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>
        <f>+INDEX('Budget original'!$A$2:$AO$501,MATCH($A75,'Budget original'!$A$2:$A$501,0),MATCH(F$2,'Budget original'!$A$2:$AO$2,0))</f>
        <v>28493.201912727272</v>
      </c>
      <c r="G75" s="269"/>
      <c r="H75" s="178"/>
      <c r="I75" s="179"/>
      <c r="J75" s="223"/>
      <c r="K75" s="178"/>
      <c r="L75" s="473">
        <f>-SUMIFS(BV_Data_An_Cour!$O:$O,BV_Data_An_Cour!$U:$U,$B75,BV_Data_An_Cour!$V:$V,$C75,BV_Data_An_Cour!$W:$W,L$2)</f>
        <v>20598</v>
      </c>
      <c r="M75" s="223"/>
      <c r="N75" s="225">
        <f t="shared" si="17"/>
        <v>-7895.2019127272724</v>
      </c>
      <c r="O75" s="223"/>
      <c r="P75" s="178"/>
      <c r="Q75" s="473">
        <f>+INDEX('Réel 2024'!$A$2:$AO$501,MATCH($A75,'Réel 2024'!$A$2:$A$501,0),MATCH(Q$2,'Réel 2024'!$A$2:$AO$2,0))</f>
        <v>31920</v>
      </c>
      <c r="R75" s="223"/>
      <c r="S75" s="197">
        <f>L75-Q75</f>
        <v>-11322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>
        <f>+INDEX('Budget original'!$A$2:$AO$501,MATCH($A76,'Budget original'!$A$2:$A$501,0),MATCH(F$2,'Budget original'!$A$2:$AO$2,0))</f>
        <v>0</v>
      </c>
      <c r="G76" s="269"/>
      <c r="H76" s="178"/>
      <c r="I76" s="179"/>
      <c r="J76" s="223"/>
      <c r="K76" s="178"/>
      <c r="L76" s="473">
        <f>-SUMIFS(BV_Data_An_Cour!$O:$O,BV_Data_An_Cour!$U:$U,$B76,BV_Data_An_Cour!$V:$V,$C76,BV_Data_An_Cour!$W:$W,L$2)</f>
        <v>0</v>
      </c>
      <c r="M76" s="223"/>
      <c r="N76" s="225">
        <f t="shared" si="17"/>
        <v>0</v>
      </c>
      <c r="O76" s="223"/>
      <c r="P76" s="178"/>
      <c r="Q76" s="473">
        <f t="array" ref="Q76">+INDEX('Réel 2024'!$A$2:$AO$501,MATCH($A76,'Réel 2024'!$A$2:$A$501,0),MATCH(Q$2,'Réel 2024'!$A$2:$AO$2,0))</f>
        <v>0</v>
      </c>
      <c r="R76" s="223"/>
      <c r="S76" s="197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>
        <f>+INDEX('Budget original'!$A$2:$AO$501,MATCH($A77,'Budget original'!$A$2:$A$501,0),MATCH(F$2,'Budget original'!$A$2:$AO$2,0))</f>
        <v>0</v>
      </c>
      <c r="G77" s="269"/>
      <c r="H77" s="178"/>
      <c r="I77" s="179"/>
      <c r="J77" s="223"/>
      <c r="K77" s="178"/>
      <c r="L77" s="473">
        <f>-SUMIFS(BV_Data_An_Cour!$O:$O,BV_Data_An_Cour!$U:$U,$B77,BV_Data_An_Cour!$V:$V,$C77,BV_Data_An_Cour!$W:$W,L$2)</f>
        <v>0</v>
      </c>
      <c r="M77" s="223"/>
      <c r="N77" s="225">
        <f t="shared" si="17"/>
        <v>0</v>
      </c>
      <c r="O77" s="223"/>
      <c r="P77" s="178"/>
      <c r="Q77" s="473">
        <f t="array" ref="Q77">+INDEX('Réel 2024'!$A$2:$AO$501,MATCH($A77,'Réel 2024'!$A$2:$A$501,0),MATCH(Q$2,'Réel 2024'!$A$2:$AO$2,0))</f>
        <v>0</v>
      </c>
      <c r="R77" s="223"/>
      <c r="S77" s="197">
        <f t="shared" ref="S77:S82" si="18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>
        <f>+INDEX('Budget original'!$A$2:$AO$501,MATCH($A78,'Budget original'!$A$2:$A$501,0),MATCH(F$2,'Budget original'!$A$2:$AO$2,0))</f>
        <v>30803.461527272728</v>
      </c>
      <c r="G78" s="269"/>
      <c r="H78" s="178"/>
      <c r="I78" s="179"/>
      <c r="J78" s="223"/>
      <c r="K78" s="178"/>
      <c r="L78" s="180">
        <f>-SUMIFS(BV_Data_An_Cour!$O:$O,BV_Data_An_Cour!$U:$U,$B78,BV_Data_An_Cour!$V:$V,$C78,BV_Data_An_Cour!$W:$W,L$2)</f>
        <v>32718</v>
      </c>
      <c r="M78" s="223"/>
      <c r="N78" s="225">
        <f t="shared" si="17"/>
        <v>1914.5384727272722</v>
      </c>
      <c r="O78" s="223"/>
      <c r="P78" s="178"/>
      <c r="Q78" s="473">
        <f t="array" ref="Q78">+INDEX('Réel 2024'!$A$2:$AO$501,MATCH($A78,'Réel 2024'!$A$2:$A$501,0),MATCH(Q$2,'Réel 2024'!$A$2:$AO$2,0))</f>
        <v>44065</v>
      </c>
      <c r="R78" s="223"/>
      <c r="S78" s="197">
        <f t="shared" si="18"/>
        <v>-11347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>
        <f>+INDEX('Budget original'!$A$2:$AO$501,MATCH($A79,'Budget original'!$A$2:$A$501,0),MATCH(F$2,'Budget original'!$A$2:$AO$2,0))</f>
        <v>0</v>
      </c>
      <c r="G79" s="269"/>
      <c r="H79" s="178"/>
      <c r="I79" s="179"/>
      <c r="J79" s="223"/>
      <c r="K79" s="178"/>
      <c r="L79" s="180">
        <f>-SUMIFS(BV_Data_An_Cour!$O:$O,BV_Data_An_Cour!$U:$U,$B79,BV_Data_An_Cour!$V:$V,$C79,BV_Data_An_Cour!$W:$W,L$2)</f>
        <v>0</v>
      </c>
      <c r="M79" s="223"/>
      <c r="N79" s="225">
        <f t="shared" si="17"/>
        <v>0</v>
      </c>
      <c r="O79" s="223"/>
      <c r="P79" s="178"/>
      <c r="Q79" s="473">
        <f t="array" ref="Q79">+INDEX('Réel 2024'!$A$2:$AO$501,MATCH($A79,'Réel 2024'!$A$2:$A$501,0),MATCH(Q$2,'Réel 2024'!$A$2:$AO$2,0))</f>
        <v>0</v>
      </c>
      <c r="R79" s="223"/>
      <c r="S79" s="197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>
        <f>+INDEX('Budget original'!$A$2:$AO$501,MATCH($A80,'Budget original'!$A$2:$A$501,0),MATCH(F$2,'Budget original'!$A$2:$AO$2,0))</f>
        <v>0</v>
      </c>
      <c r="G80" s="269"/>
      <c r="H80" s="178"/>
      <c r="I80" s="179"/>
      <c r="J80" s="223"/>
      <c r="K80" s="178"/>
      <c r="L80" s="180">
        <f>-SUMIFS(BV_Data_An_Cour!$O:$O,BV_Data_An_Cour!$U:$U,$B80,BV_Data_An_Cour!$V:$V,$C80,BV_Data_An_Cour!$W:$W,L$2)</f>
        <v>0</v>
      </c>
      <c r="M80" s="223"/>
      <c r="N80" s="225">
        <f t="shared" si="17"/>
        <v>0</v>
      </c>
      <c r="O80" s="223"/>
      <c r="P80" s="178"/>
      <c r="Q80" s="473">
        <f t="array" ref="Q80">+INDEX('Réel 2024'!$A$2:$AO$501,MATCH($A80,'Réel 2024'!$A$2:$A$501,0),MATCH(Q$2,'Réel 2024'!$A$2:$AO$2,0))</f>
        <v>0</v>
      </c>
      <c r="R80" s="223"/>
      <c r="S80" s="197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>
        <f>+INDEX('Budget original'!$A$2:$AO$501,MATCH($A81,'Budget original'!$A$2:$A$501,0),MATCH(F$2,'Budget original'!$A$2:$AO$2,0))</f>
        <v>0</v>
      </c>
      <c r="G81" s="269"/>
      <c r="H81" s="178"/>
      <c r="I81" s="179"/>
      <c r="J81" s="223"/>
      <c r="K81" s="178"/>
      <c r="L81" s="180">
        <f>-SUMIFS(BV_Data_An_Cour!$O:$O,BV_Data_An_Cour!$U:$U,$B81,BV_Data_An_Cour!$V:$V,$C81,BV_Data_An_Cour!$W:$W,L$2)</f>
        <v>0</v>
      </c>
      <c r="M81" s="223"/>
      <c r="N81" s="225">
        <f t="shared" si="17"/>
        <v>0</v>
      </c>
      <c r="O81" s="223"/>
      <c r="P81" s="178"/>
      <c r="Q81" s="473">
        <f t="array" ref="Q81">+INDEX('Réel 2024'!$A$2:$AO$501,MATCH($A81,'Réel 2024'!$A$2:$A$501,0),MATCH(Q$2,'Réel 2024'!$A$2:$AO$2,0))</f>
        <v>0</v>
      </c>
      <c r="R81" s="223"/>
      <c r="S81" s="197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>
        <f>+INDEX('Budget original'!$A$2:$AO$501,MATCH($A82,'Budget original'!$A$2:$A$501,0),MATCH(F$2,'Budget original'!$A$2:$AO$2,0))</f>
        <v>10549.35</v>
      </c>
      <c r="G82" s="269"/>
      <c r="H82" s="178"/>
      <c r="I82" s="179"/>
      <c r="J82" s="223"/>
      <c r="K82" s="178"/>
      <c r="L82" s="473">
        <f>-SUMIFS(BV_Data_An_Cour!$O:$O,BV_Data_An_Cour!$U:$U,$B82,BV_Data_An_Cour!$V:$V,$C82,BV_Data_An_Cour!$W:$W,L$2)</f>
        <v>4165</v>
      </c>
      <c r="M82" s="223"/>
      <c r="N82" s="225">
        <f t="shared" si="17"/>
        <v>-6384.35</v>
      </c>
      <c r="O82" s="223"/>
      <c r="P82" s="178"/>
      <c r="Q82" s="473">
        <f t="array" ref="Q82">+INDEX('Réel 2024'!$A$2:$AO$501,MATCH($A82,'Réel 2024'!$A$2:$A$501,0),MATCH(Q$2,'Réel 2024'!$A$2:$AO$2,0))</f>
        <v>14875</v>
      </c>
      <c r="R82" s="223"/>
      <c r="S82" s="197">
        <f t="shared" si="18"/>
        <v>-10710</v>
      </c>
      <c r="T82" s="25"/>
      <c r="U82" s="25"/>
      <c r="V82" s="1275">
        <f>L82/595</f>
        <v>7</v>
      </c>
      <c r="W82" s="1127">
        <f>V82/J27</f>
        <v>0.58333333333333337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69846.01344000001</v>
      </c>
      <c r="G83" s="42"/>
      <c r="H83" s="40"/>
      <c r="I83" s="41"/>
      <c r="J83" s="42"/>
      <c r="K83" s="40"/>
      <c r="L83" s="41">
        <f>+SUM(L75:L82)</f>
        <v>57481</v>
      </c>
      <c r="M83" s="44"/>
      <c r="N83" s="41">
        <f>+SUM(N75:N82)</f>
        <v>-12365.013440000001</v>
      </c>
      <c r="O83" s="42"/>
      <c r="P83" s="40"/>
      <c r="Q83" s="41">
        <f>+SUM(Q75:Q82)</f>
        <v>90860</v>
      </c>
      <c r="R83" s="44"/>
      <c r="S83" s="285">
        <f>+SUM(S75:S82)</f>
        <v>-33379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36724.899588780696</v>
      </c>
      <c r="G85" s="379"/>
      <c r="H85" s="309"/>
      <c r="I85" s="306"/>
      <c r="J85" s="379"/>
      <c r="K85" s="305"/>
      <c r="L85" s="306">
        <f>L27-L74+L83</f>
        <v>12390.480000000018</v>
      </c>
      <c r="M85" s="379"/>
      <c r="N85" s="306">
        <f>N27-N41-N54-N72+N83</f>
        <v>-24334.419588780671</v>
      </c>
      <c r="O85" s="379"/>
      <c r="P85" s="305"/>
      <c r="Q85" s="306">
        <f>Q27-Q74+Q83</f>
        <v>90570.040000000095</v>
      </c>
      <c r="R85" s="379"/>
      <c r="S85" s="310">
        <f>S27-S41-S54-S72+S83</f>
        <v>-78179.5600000001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2025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2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79" t="s">
        <v>77</v>
      </c>
      <c r="E91" s="1280"/>
      <c r="F91" s="1281"/>
      <c r="G91" s="1284"/>
      <c r="H91" s="1280"/>
      <c r="I91" s="1281"/>
      <c r="J91" s="1284" t="s">
        <v>78</v>
      </c>
      <c r="K91" s="1280"/>
      <c r="L91" s="1281"/>
      <c r="M91" s="1284" t="s">
        <v>2442</v>
      </c>
      <c r="N91" s="1281"/>
      <c r="O91" s="1279" t="s">
        <v>79</v>
      </c>
      <c r="P91" s="1280"/>
      <c r="Q91" s="1281"/>
      <c r="R91" s="1282" t="s">
        <v>2446</v>
      </c>
      <c r="S91" s="1283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19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f>+INDEX('Budget original'!$A$2:$AO$501,MATCH($A93,'Budget original'!$A$2:$A$501,0),MATCH(F$2,'Budget original'!$A$2:$AO$2,0))</f>
        <v>886117.6470588235</v>
      </c>
      <c r="G93" s="183"/>
      <c r="H93" s="184"/>
      <c r="I93" s="177"/>
      <c r="J93" s="278"/>
      <c r="K93" s="184"/>
      <c r="L93" s="177">
        <f>-SUMIFS(BV_Data_An_Cour!$O:$O,BV_Data_An_Cour!$X:$X,"Oui",BV_Data_An_Cour!$U:$U,$B93)</f>
        <v>324028.27999999997</v>
      </c>
      <c r="M93" s="341"/>
      <c r="N93" s="342"/>
      <c r="O93" s="278"/>
      <c r="P93" s="184"/>
      <c r="Q93" s="177">
        <f t="array" ref="Q93">+INDEX('Réel 2024'!$A$2:$AO$501,MATCH($A93,'Réel 2024'!$A$2:$A$501,0),MATCH(Q$2,'Réel 2024'!$A$2:$AO$2,0))</f>
        <v>1409394.12</v>
      </c>
      <c r="R93" s="341"/>
      <c r="S93" s="344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1" t="s">
        <v>141</v>
      </c>
      <c r="D94" s="179">
        <f>+INDEX('Budget original'!$A$2:$AO$501,MATCH($A94,'Budget original'!$A$2:$A$501,0),MATCH(D$2,'Budget original'!$A$2:$AO$2,0))</f>
        <v>4</v>
      </c>
      <c r="E94" s="179">
        <f>IF(D94=0,0,F94/D94)</f>
        <v>2300</v>
      </c>
      <c r="F94" s="179">
        <f>+INDEX('Budget original'!$A$2:$AO$501,MATCH($A94,'Budget original'!$A$2:$A$501,0),MATCH(F$2,'Budget original'!$A$2:$AO$2,0))</f>
        <v>9200</v>
      </c>
      <c r="G94" s="182"/>
      <c r="H94" s="179"/>
      <c r="I94" s="179"/>
      <c r="J94" s="182">
        <f>-SUMIFS(BV_Data_An_Cour!$O:$O,BV_Data_An_Cour!$U:$U,$B94,BV_Data_An_Cour!$V:$V,$C94,BV_Data_An_Cour!$W:$W,J$2)</f>
        <v>3</v>
      </c>
      <c r="K94" s="179">
        <f>IF(J94=0,0,L94/J94)</f>
        <v>1877.2533333333324</v>
      </c>
      <c r="L94" s="180">
        <f>-SUMIFS(BV_Data_An_Cour!$O:$O,BV_Data_An_Cour!$U:$U,$B94,BV_Data_An_Cour!$V:$V,$C94,BV_Data_An_Cour!$W:$W,$L2)</f>
        <v>5631.7599999999975</v>
      </c>
      <c r="M94" s="182">
        <f>J94-D94</f>
        <v>-1</v>
      </c>
      <c r="N94" s="180">
        <f>L94-F94</f>
        <v>-3568.2400000000025</v>
      </c>
      <c r="O94" s="182">
        <f t="array" ref="O94">+INDEX('Réel 2024'!$A$2:$AO$501,MATCH($A94,'Réel 2024'!$A$2:$A$501,0),MATCH(O$2,'Réel 2024'!$A$2:$AO$2,0))</f>
        <v>5</v>
      </c>
      <c r="P94" s="179">
        <f t="shared" ref="P94:P96" si="20">IF(O94=0,0,Q94/O94)</f>
        <v>2218.59</v>
      </c>
      <c r="Q94" s="180">
        <f t="array" ref="Q94">+INDEX('Réel 2024'!$A$2:$AO$501,MATCH($A94,'Réel 2024'!$A$2:$A$501,0),MATCH(Q$2,'Réel 2024'!$A$2:$AO$2,0))</f>
        <v>11092.95</v>
      </c>
      <c r="R94" s="182">
        <f>J94-O94</f>
        <v>-2</v>
      </c>
      <c r="S94" s="345">
        <f>L94-Q94</f>
        <v>-5461.1900000000032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25">
      <c r="A95" t="str">
        <f t="shared" si="19"/>
        <v>Véhicules usagésNon Certifié</v>
      </c>
      <c r="B95" s="24" t="s">
        <v>140</v>
      </c>
      <c r="C95" s="251" t="s">
        <v>142</v>
      </c>
      <c r="D95" s="179">
        <f>+INDEX('Budget original'!$A$2:$AO$501,MATCH($A95,'Budget original'!$A$2:$A$501,0),MATCH(D$2,'Budget original'!$A$2:$AO$2,0))</f>
        <v>4</v>
      </c>
      <c r="E95" s="179">
        <f t="shared" ref="E95:E105" si="21">IF(D95=0,0,F95/D95)</f>
        <v>1600</v>
      </c>
      <c r="F95" s="179">
        <f>+INDEX('Budget original'!$A$2:$AO$501,MATCH($A95,'Budget original'!$A$2:$A$501,0),MATCH(F$2,'Budget original'!$A$2:$AO$2,0))</f>
        <v>6400</v>
      </c>
      <c r="G95" s="182"/>
      <c r="H95" s="179"/>
      <c r="I95" s="179"/>
      <c r="J95" s="182">
        <f>-SUMIFS(BV_Data_An_Cour!$O:$O,BV_Data_An_Cour!$U:$U,$B95,BV_Data_An_Cour!$V:$V,$C95,BV_Data_An_Cour!$W:$W,J$2)</f>
        <v>2</v>
      </c>
      <c r="K95" s="179">
        <f>IF(J95=0,0,L95/J95)</f>
        <v>968.67500000000325</v>
      </c>
      <c r="L95" s="473">
        <f>-SUMIFS(BV_Data_An_Cour!$O:$O,BV_Data_An_Cour!$U:$U,$B95,BV_Data_An_Cour!$V:$V,$C95,BV_Data_An_Cour!$W:$W,$L2)</f>
        <v>1937.3500000000065</v>
      </c>
      <c r="M95" s="182">
        <f>J95-D95</f>
        <v>-2</v>
      </c>
      <c r="N95" s="180">
        <f>L95-F95</f>
        <v>-4462.6499999999933</v>
      </c>
      <c r="O95" s="182">
        <f t="array" ref="O95">+INDEX('Réel 2024'!$A$2:$AO$501,MATCH($A95,'Réel 2024'!$A$2:$A$501,0),MATCH(O$2,'Réel 2024'!$A$2:$AO$2,0))</f>
        <v>7</v>
      </c>
      <c r="P95" s="179">
        <f t="shared" si="20"/>
        <v>-183.16857142857</v>
      </c>
      <c r="Q95" s="473">
        <f t="array" ref="Q95">+INDEX('Réel 2024'!$A$2:$AO$501,MATCH($A95,'Réel 2024'!$A$2:$A$501,0),MATCH(Q$2,'Réel 2024'!$A$2:$AO$2,0))</f>
        <v>-1282.1799999999901</v>
      </c>
      <c r="R95" s="182">
        <f>J95-O95</f>
        <v>-5</v>
      </c>
      <c r="S95" s="345">
        <f>L95-Q95</f>
        <v>3219.5299999999966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25">
      <c r="A96" t="str">
        <f t="shared" ref="A96" si="22">+B96&amp;C96</f>
        <v>Véhicules usagésAutres marques</v>
      </c>
      <c r="B96" s="24" t="s">
        <v>140</v>
      </c>
      <c r="C96" s="251" t="s">
        <v>2811</v>
      </c>
      <c r="D96" s="179">
        <f>+INDEX('Budget original'!$A$2:$AO$501,MATCH($A96,'Budget original'!$A$2:$A$501,0),MATCH(D$2,'Budget original'!$A$2:$AO$2,0))</f>
        <v>4</v>
      </c>
      <c r="E96" s="184">
        <f t="shared" si="21"/>
        <v>1500</v>
      </c>
      <c r="F96" s="179">
        <f>+INDEX('Budget original'!$A$2:$AO$501,MATCH($A96,'Budget original'!$A$2:$A$501,0),MATCH(F$2,'Budget original'!$A$2:$AO$2,0))</f>
        <v>6000</v>
      </c>
      <c r="G96" s="182"/>
      <c r="H96" s="179"/>
      <c r="I96" s="179"/>
      <c r="J96" s="182">
        <f>-SUMIFS(BV_Data_An_Cour!$O:$O,BV_Data_An_Cour!$U:$U,$B96,BV_Data_An_Cour!$V:$V,$C96,BV_Data_An_Cour!$W:$W,J$2)</f>
        <v>0</v>
      </c>
      <c r="K96" s="179">
        <f>IF(J96=0,0,L96/J96)</f>
        <v>0</v>
      </c>
      <c r="L96" s="473">
        <f>-SUMIFS(BV_Data_An_Cour!$O:$O,BV_Data_An_Cour!$U:$U,$B96,BV_Data_An_Cour!$V:$V,$C96,BV_Data_An_Cour!$W:$W,$L2)</f>
        <v>0</v>
      </c>
      <c r="M96" s="182">
        <f>J96-D96</f>
        <v>-4</v>
      </c>
      <c r="N96" s="180">
        <f>L96-F96</f>
        <v>-6000</v>
      </c>
      <c r="O96" s="182">
        <f>+INDEX('Réel 2024'!$A$2:$AO$501,MATCH($A96,'Réel 2024'!$A$2:$A$501,0),MATCH(O$2,'Réel 2024'!$A$2:$AO$2,0))</f>
        <v>1</v>
      </c>
      <c r="P96" s="179">
        <f t="shared" si="20"/>
        <v>500</v>
      </c>
      <c r="Q96" s="473">
        <f>+INDEX('Réel 2024'!$A$2:$AO$501,MATCH($A96,'Réel 2024'!$A$2:$A$501,0),MATCH(Q$2,'Réel 2024'!$A$2:$AO$2,0))</f>
        <v>500</v>
      </c>
      <c r="R96" s="182">
        <f>J96-O96</f>
        <v>-1</v>
      </c>
      <c r="S96" s="345">
        <f>L96-Q96</f>
        <v>-500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37" t="s">
        <v>143</v>
      </c>
      <c r="D97" s="346">
        <f>+D95+D94+D96</f>
        <v>12</v>
      </c>
      <c r="E97" s="179">
        <f t="shared" si="21"/>
        <v>1800</v>
      </c>
      <c r="F97" s="347">
        <f>+F94+F95+F96</f>
        <v>21600</v>
      </c>
      <c r="G97" s="348"/>
      <c r="H97" s="346"/>
      <c r="I97" s="347"/>
      <c r="J97" s="348">
        <f>+J94+J95+J96</f>
        <v>5</v>
      </c>
      <c r="K97" s="346">
        <f>IF(J97&lt;=0,0,L97/J97)</f>
        <v>1513.8220000000008</v>
      </c>
      <c r="L97" s="347">
        <f>+L94+L95+L96</f>
        <v>7569.1100000000042</v>
      </c>
      <c r="M97" s="348">
        <f>J97-D97</f>
        <v>-7</v>
      </c>
      <c r="N97" s="347">
        <f>L97-F97</f>
        <v>-14030.889999999996</v>
      </c>
      <c r="O97" s="348">
        <f>+O95+O94+O96</f>
        <v>13</v>
      </c>
      <c r="P97" s="346">
        <f>IF(O97=0,0,Q97/O97)</f>
        <v>793.13615384615468</v>
      </c>
      <c r="Q97" s="347">
        <f>+Q94+Q95+Q96</f>
        <v>10310.770000000011</v>
      </c>
      <c r="R97" s="348">
        <f>J97-O97</f>
        <v>-8</v>
      </c>
      <c r="S97" s="349">
        <f>L97-Q97</f>
        <v>-2741.6600000000071</v>
      </c>
      <c r="T97" s="25"/>
      <c r="U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-0.58333333333333337</v>
      </c>
      <c r="N98" s="234">
        <f>N97/F97</f>
        <v>-0.64957824074074055</v>
      </c>
      <c r="O98" s="223"/>
      <c r="P98" s="178"/>
      <c r="Q98" s="265"/>
      <c r="R98" s="235">
        <f>R97/O97</f>
        <v>-0.61538461538461542</v>
      </c>
      <c r="S98" s="262">
        <f>IF(Q97=0,0,(S97/Q97))</f>
        <v>-0.26590254656053858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19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19"/>
        <v>Véhicules usagésVentes au Gros</v>
      </c>
      <c r="B100" s="24" t="s">
        <v>140</v>
      </c>
      <c r="C100" s="251" t="s">
        <v>144</v>
      </c>
      <c r="D100" s="179">
        <f>+INDEX('Budget original'!$A$2:$AO$501,MATCH($A100,'Budget original'!$A$2:$A$501,0),MATCH(D$2,'Budget original'!$A$2:$AO$2,0))</f>
        <v>11</v>
      </c>
      <c r="E100" s="179">
        <f t="shared" si="21"/>
        <v>350</v>
      </c>
      <c r="F100" s="179">
        <f>+INDEX('Budget original'!$A$2:$AO$501,MATCH($A100,'Budget original'!$A$2:$A$501,0),MATCH(F$2,'Budget original'!$A$2:$AO$2,0))</f>
        <v>3850</v>
      </c>
      <c r="G100" s="182"/>
      <c r="H100" s="179"/>
      <c r="I100" s="179"/>
      <c r="J100" s="182">
        <f>-SUMIFS(BV_Data_An_Cour!$O:$O,BV_Data_An_Cour!$U:$U,$B100,BV_Data_An_Cour!$V:$V,$C100,BV_Data_An_Cour!$W:$W,J$2)</f>
        <v>2</v>
      </c>
      <c r="K100" s="179">
        <f>IF(J100=0,0,L100/J100)</f>
        <v>788.04999999999927</v>
      </c>
      <c r="L100" s="180">
        <f>-SUMIFS(BV_Data_An_Cour!$O:$O,BV_Data_An_Cour!$U:$U,$B100,BV_Data_An_Cour!$V:$V,$C100,BV_Data_An_Cour!$W:$W,L$2)</f>
        <v>1576.0999999999985</v>
      </c>
      <c r="M100" s="182">
        <f>J100-D100</f>
        <v>-9</v>
      </c>
      <c r="N100" s="180">
        <f>L100-F100</f>
        <v>-2273.9000000000015</v>
      </c>
      <c r="O100" s="182">
        <f t="array" ref="O100">+INDEX('Réel 2024'!$A$2:$AO$501,MATCH($A100,'Réel 2024'!$A$2:$A$501,0),MATCH(O$2,'Réel 2024'!$A$2:$AO$2,0))</f>
        <v>23</v>
      </c>
      <c r="P100" s="179">
        <f>IF(O100=0,0,Q100/O100)</f>
        <v>509.69086956521738</v>
      </c>
      <c r="Q100" s="180">
        <f t="array" ref="Q100">+INDEX('Réel 2024'!$A$2:$AO$501,MATCH($A100,'Réel 2024'!$A$2:$A$501,0),MATCH(Q$2,'Réel 2024'!$A$2:$AO$2,0))</f>
        <v>11722.89</v>
      </c>
      <c r="R100" s="182">
        <f>J100-O100</f>
        <v>-21</v>
      </c>
      <c r="S100" s="345">
        <f>L100-Q100</f>
        <v>-10146.790000000001</v>
      </c>
      <c r="T100" s="25"/>
      <c r="U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usagésRev. Finances</v>
      </c>
      <c r="B102" s="24" t="s">
        <v>140</v>
      </c>
      <c r="C102" s="251" t="s">
        <v>94</v>
      </c>
      <c r="D102" s="179">
        <f>+INDEX('Budget original'!$A$2:$AO$501,MATCH($A102,'Budget original'!$A$2:$A$501,0),MATCH(D$2,'Budget original'!$A$2:$AO$2,0))</f>
        <v>0</v>
      </c>
      <c r="E102" s="179">
        <f t="shared" si="21"/>
        <v>0</v>
      </c>
      <c r="F102" s="180">
        <f>+INDEX('Budget original'!$A$2:$AO$501,MATCH($A102,'Budget original'!$A$2:$A$501,0),MATCH(F$2,'Budget original'!$A$2:$AO$2,0))</f>
        <v>4560</v>
      </c>
      <c r="G102" s="182"/>
      <c r="H102" s="179"/>
      <c r="I102" s="179"/>
      <c r="J102" s="182"/>
      <c r="K102" s="179">
        <f>IF(J97=0,0,L102/J97)</f>
        <v>648.38600000000008</v>
      </c>
      <c r="L102" s="180">
        <f>-SUMIFS(BV_Data_An_Cour!$O:$O,BV_Data_An_Cour!$U:$U,$B102,BV_Data_An_Cour!$V:$V,$C102,BV_Data_An_Cour!$W:$W,$L2)</f>
        <v>3241.9300000000003</v>
      </c>
      <c r="M102" s="182"/>
      <c r="N102" s="180">
        <f>L102-F102</f>
        <v>-1318.0699999999997</v>
      </c>
      <c r="O102" s="182"/>
      <c r="P102" s="179"/>
      <c r="Q102" s="180">
        <f t="array" ref="Q102">+INDEX('Réel 2024'!$A$2:$AO$501,MATCH($A102,'Réel 2024'!$A$2:$A$501,0),MATCH(Q$2,'Réel 2024'!$A$2:$AO$2,0))</f>
        <v>2962.7599999999902</v>
      </c>
      <c r="R102" s="182">
        <f>O102-K102</f>
        <v>-648.38600000000008</v>
      </c>
      <c r="S102" s="345">
        <f>L102-Q102</f>
        <v>279.17000000001008</v>
      </c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Protections</v>
      </c>
      <c r="B103" s="24" t="s">
        <v>140</v>
      </c>
      <c r="C103" s="251" t="s">
        <v>95</v>
      </c>
      <c r="D103" s="179">
        <f>+INDEX('Budget original'!$A$2:$AO$501,MATCH($A103,'Budget original'!$A$2:$A$501,0),MATCH(D$2,'Budget original'!$A$2:$AO$2,0))</f>
        <v>0</v>
      </c>
      <c r="E103" s="179">
        <f t="shared" si="21"/>
        <v>0</v>
      </c>
      <c r="F103" s="180">
        <f>+INDEX('Budget original'!$A$2:$AO$501,MATCH($A103,'Budget original'!$A$2:$A$501,0),MATCH(F$2,'Budget original'!$A$2:$AO$2,0))</f>
        <v>10200</v>
      </c>
      <c r="G103" s="182"/>
      <c r="H103" s="179"/>
      <c r="I103" s="179"/>
      <c r="J103" s="182"/>
      <c r="K103" s="179">
        <f>IF(J97=0,0,L103/J97)</f>
        <v>2259.6</v>
      </c>
      <c r="L103" s="180">
        <f>-SUMIFS(BV_Data_An_Cour!$O:$O,BV_Data_An_Cour!$U:$U,$B103,BV_Data_An_Cour!$V:$V,$C103,BV_Data_An_Cour!$W:$W,$L2)</f>
        <v>11298</v>
      </c>
      <c r="M103" s="182"/>
      <c r="N103" s="180">
        <f>L103-F103</f>
        <v>1098</v>
      </c>
      <c r="O103" s="182"/>
      <c r="P103" s="179"/>
      <c r="Q103" s="180">
        <f t="array" ref="Q103">+INDEX('Réel 2024'!$A$2:$AO$501,MATCH($A103,'Réel 2024'!$A$2:$A$501,0),MATCH(Q$2,'Réel 2024'!$A$2:$AO$2,0))</f>
        <v>13963.0999999999</v>
      </c>
      <c r="R103" s="182">
        <f>O103-K103</f>
        <v>-2259.6</v>
      </c>
      <c r="S103" s="345">
        <f>L103-Q103</f>
        <v>-2665.0999999999003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Autres</v>
      </c>
      <c r="B104" s="24" t="s">
        <v>140</v>
      </c>
      <c r="C104" s="251" t="s">
        <v>96</v>
      </c>
      <c r="D104" s="179">
        <f>+INDEX('Budget original'!$A$2:$AO$501,MATCH($A104,'Budget original'!$A$2:$A$501,0),MATCH(D$2,'Budget original'!$A$2:$AO$2,0))</f>
        <v>0</v>
      </c>
      <c r="E104" s="184">
        <f t="shared" si="21"/>
        <v>0</v>
      </c>
      <c r="F104" s="180">
        <f>+INDEX('Budget original'!$A$2:$AO$501,MATCH($A104,'Budget original'!$A$2:$A$501,0),MATCH(F$2,'Budget original'!$A$2:$AO$2,0))</f>
        <v>2640</v>
      </c>
      <c r="G104" s="182"/>
      <c r="H104" s="352"/>
      <c r="I104" s="179"/>
      <c r="J104" s="182"/>
      <c r="K104" s="352">
        <f>IF(J97=0,0,L104/J97)</f>
        <v>387.6</v>
      </c>
      <c r="L104" s="180">
        <f>-SUMIFS(BV_Data_An_Cour!$O:$O,BV_Data_An_Cour!$U:$U,$B104,BV_Data_An_Cour!$V:$V,$C104,BV_Data_An_Cour!$W:$W,$L$2)</f>
        <v>1938</v>
      </c>
      <c r="M104" s="351"/>
      <c r="N104" s="180">
        <f>L104-F104</f>
        <v>-702</v>
      </c>
      <c r="O104" s="182"/>
      <c r="P104" s="352"/>
      <c r="Q104" s="180">
        <f t="array" ref="Q104">+INDEX('Réel 2024'!$A$2:$AO$501,MATCH($A104,'Réel 2024'!$A$2:$A$501,0),MATCH(Q$2,'Réel 2024'!$A$2:$AO$2,0))</f>
        <v>1645</v>
      </c>
      <c r="R104" s="182">
        <f>O104-K104</f>
        <v>-387.6</v>
      </c>
      <c r="S104" s="345">
        <f>L104-Q104</f>
        <v>293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usagésTotal F&amp;I</v>
      </c>
      <c r="B105" s="24" t="s">
        <v>140</v>
      </c>
      <c r="C105" s="337" t="s">
        <v>97</v>
      </c>
      <c r="D105" s="346">
        <f>D97</f>
        <v>12</v>
      </c>
      <c r="E105" s="179">
        <f t="shared" si="21"/>
        <v>1450</v>
      </c>
      <c r="F105" s="347">
        <f>F102+F103+F104</f>
        <v>17400</v>
      </c>
      <c r="G105" s="348"/>
      <c r="H105" s="346"/>
      <c r="I105" s="347"/>
      <c r="J105" s="348">
        <f>J97</f>
        <v>5</v>
      </c>
      <c r="K105" s="346">
        <f>IF(J105&lt;=0,0,L105/J105)</f>
        <v>3295.5860000000002</v>
      </c>
      <c r="L105" s="347">
        <f>L102+L103+L104</f>
        <v>16477.93</v>
      </c>
      <c r="M105" s="182">
        <f>J105-D105</f>
        <v>-7</v>
      </c>
      <c r="N105" s="347">
        <f>L105-F105</f>
        <v>-922.06999999999971</v>
      </c>
      <c r="O105" s="348">
        <f>O97</f>
        <v>13</v>
      </c>
      <c r="P105" s="346">
        <f t="shared" ref="P105" si="23">IF(O105=0,0,Q105/O105)</f>
        <v>1428.527692307684</v>
      </c>
      <c r="Q105" s="347">
        <f>Q102+Q103+Q104</f>
        <v>18570.859999999891</v>
      </c>
      <c r="R105" s="356"/>
      <c r="S105" s="349">
        <f>L105-Q105</f>
        <v>-2092.9299999998912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-5.299252873563217E-2</v>
      </c>
      <c r="O106" s="223"/>
      <c r="P106" s="178"/>
      <c r="Q106" s="225"/>
      <c r="R106" s="224"/>
      <c r="S106" s="262">
        <f>IF(Q105=0,0,(S105/Q105))</f>
        <v>-0.11269968111330889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19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19"/>
        <v>Véhicules usagésTotal Dépt. Usagés</v>
      </c>
      <c r="B108" s="24" t="s">
        <v>140</v>
      </c>
      <c r="C108" s="256" t="s">
        <v>145</v>
      </c>
      <c r="D108" s="26">
        <f>D97+D100</f>
        <v>23</v>
      </c>
      <c r="E108" s="30">
        <f>IF(D108&lt;=0,0,F108/D108)</f>
        <v>1863.0434782608695</v>
      </c>
      <c r="F108" s="28">
        <f>F97+F105+F100</f>
        <v>42850</v>
      </c>
      <c r="G108" s="29"/>
      <c r="H108" s="30"/>
      <c r="I108" s="28"/>
      <c r="J108" s="29">
        <f>J97+J100</f>
        <v>7</v>
      </c>
      <c r="K108" s="30">
        <f>IF(J108&lt;=0,0,L108/J108)</f>
        <v>3660.448571428572</v>
      </c>
      <c r="L108" s="28">
        <f>L97+L105+L100</f>
        <v>25623.140000000003</v>
      </c>
      <c r="M108" s="29">
        <f>J108-D108</f>
        <v>-16</v>
      </c>
      <c r="N108" s="28">
        <f>L108-F108</f>
        <v>-17226.859999999997</v>
      </c>
      <c r="O108" s="29">
        <f>O97+O100</f>
        <v>36</v>
      </c>
      <c r="P108" s="30">
        <f>IF(O108&lt;=0,0,Q108/O108)</f>
        <v>1127.9033333333307</v>
      </c>
      <c r="Q108" s="28">
        <f>Q97+Q105+Q100</f>
        <v>40604.519999999902</v>
      </c>
      <c r="R108" s="29">
        <f>J108-O108</f>
        <v>-29</v>
      </c>
      <c r="S108" s="321">
        <f>L108-Q108</f>
        <v>-14981.379999999899</v>
      </c>
      <c r="T108" s="25"/>
      <c r="U108" s="25"/>
      <c r="W108" s="24"/>
      <c r="X108" s="1154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19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-0.69565217391304346</v>
      </c>
      <c r="N109" s="34">
        <f>N108/F108</f>
        <v>-0.4020270711785297</v>
      </c>
      <c r="O109" s="31"/>
      <c r="P109" s="323"/>
      <c r="Q109" s="32"/>
      <c r="R109" s="33">
        <f>O108/R108</f>
        <v>-1.2413793103448276</v>
      </c>
      <c r="S109" s="357">
        <f>IF(Q108=0,0,(S108/Q108))</f>
        <v>-0.36895843122883698</v>
      </c>
      <c r="T109" s="25"/>
      <c r="U109" s="25"/>
      <c r="W109" s="25"/>
      <c r="X109" s="1178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19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19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usagésComm. vendeurs</v>
      </c>
      <c r="B112" s="24" t="s">
        <v>140</v>
      </c>
      <c r="C112" s="251" t="s">
        <v>100</v>
      </c>
      <c r="D112" s="208">
        <f>F112/(F97+F105)</f>
        <v>0.207277728657039</v>
      </c>
      <c r="E112" s="195">
        <f t="shared" ref="E112:E121" si="24">F112/D$97</f>
        <v>673.65261813537677</v>
      </c>
      <c r="F112" s="179">
        <f>+INDEX('Budget original'!$A$2:$AO$501,MATCH($A112,'Budget original'!$A$2:$A$501,0),MATCH(F$2,'Budget original'!$A$2:$AO$2,0))</f>
        <v>8083.8314176245212</v>
      </c>
      <c r="G112" s="293"/>
      <c r="H112" s="195"/>
      <c r="I112" s="179"/>
      <c r="J112" s="293">
        <f>L112/L97</f>
        <v>0.5259667252821002</v>
      </c>
      <c r="K112" s="195">
        <f>IF($J$97=0,0,L112/(J$94+J$95+J96))</f>
        <v>796.22</v>
      </c>
      <c r="L112" s="180">
        <f>SUMIFS(BV_Data_An_Cour!$O:$O,BV_Data_An_Cour!$U:$U,$B112,BV_Data_An_Cour!$V:$V,$C112,BV_Data_An_Cour!$W:$W,$L$2)</f>
        <v>3981.1</v>
      </c>
      <c r="M112" s="223"/>
      <c r="N112" s="225">
        <f t="shared" ref="N112:N153" si="25">L112-F112</f>
        <v>-4102.7314176245218</v>
      </c>
      <c r="O112" s="293">
        <f>Q112/Q97</f>
        <v>1.037639283972001</v>
      </c>
      <c r="P112" s="195">
        <f t="shared" ref="P112:P121" si="26">Q112/O$97</f>
        <v>822.98923076923086</v>
      </c>
      <c r="Q112" s="180">
        <f t="array" ref="Q112">+INDEX('Réel 2024'!$A$2:$AO$501,MATCH($A112,'Réel 2024'!$A$2:$A$501,0),MATCH(Q$2,'Réel 2024'!$A$2:$AO$2,0))</f>
        <v>10698.86</v>
      </c>
      <c r="R112" s="223"/>
      <c r="S112" s="197">
        <f t="shared" ref="S112:S122" si="27">L112-Q112</f>
        <v>-6717.76</v>
      </c>
      <c r="T112" s="25"/>
      <c r="U112" s="25"/>
      <c r="V112" s="1275" t="s">
        <v>3024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F&amp;I</v>
      </c>
      <c r="B113" s="24" t="s">
        <v>140</v>
      </c>
      <c r="C113" s="294" t="s">
        <v>101</v>
      </c>
      <c r="D113" s="301">
        <f>F113/(F105+F19)</f>
        <v>0.24759254147604232</v>
      </c>
      <c r="E113" s="358">
        <f t="shared" si="24"/>
        <v>398.75</v>
      </c>
      <c r="F113" s="177">
        <f>+INDEX('Budget original'!$A$2:$AO$501,MATCH($A113,'Budget original'!$A$2:$A$501,0),MATCH(F$2,'Budget original'!$A$2:$AO$2,0))</f>
        <v>4785</v>
      </c>
      <c r="G113" s="320"/>
      <c r="H113" s="358"/>
      <c r="I113" s="177"/>
      <c r="J113" s="320">
        <f>L113/L105</f>
        <v>0.32313342756037922</v>
      </c>
      <c r="K113" s="358">
        <f>IF($J$97=0,0,L113/(J$94+J$95+J96))</f>
        <v>1064.914</v>
      </c>
      <c r="L113" s="180">
        <f>SUMIFS(BV_Data_An_Cour!$O:$O,BV_Data_An_Cour!$U:$U,$B113,BV_Data_An_Cour!$V:$V,$C113,BV_Data_An_Cour!$W:$W,$L$2)</f>
        <v>5324.57</v>
      </c>
      <c r="M113" s="278"/>
      <c r="N113" s="279">
        <f t="shared" si="25"/>
        <v>539.56999999999971</v>
      </c>
      <c r="O113" s="320">
        <f>Q113/(Q105+Q19)</f>
        <v>0.25110545310378707</v>
      </c>
      <c r="P113" s="358">
        <f t="shared" si="26"/>
        <v>387.81769230769231</v>
      </c>
      <c r="Q113" s="180">
        <f t="array" ref="Q113">+INDEX('Réel 2024'!$A$2:$AO$501,MATCH($A113,'Réel 2024'!$A$2:$A$501,0),MATCH(Q$2,'Réel 2024'!$A$2:$AO$2,0))</f>
        <v>5041.63</v>
      </c>
      <c r="R113" s="278"/>
      <c r="S113" s="200">
        <f t="shared" si="27"/>
        <v>282.9399999999996</v>
      </c>
      <c r="T113" s="25"/>
      <c r="U113" s="25"/>
      <c r="V113" s="1275" t="s">
        <v>3026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usagésFrais de livraison</v>
      </c>
      <c r="B114" s="24" t="s">
        <v>140</v>
      </c>
      <c r="C114" s="251" t="s">
        <v>102</v>
      </c>
      <c r="D114" s="249"/>
      <c r="E114" s="195">
        <f t="shared" si="24"/>
        <v>90</v>
      </c>
      <c r="F114" s="179">
        <f>+INDEX('Budget original'!$A$2:$AO$501,MATCH($A114,'Budget original'!$A$2:$A$501,0),MATCH(F$2,'Budget original'!$A$2:$AO$2,0))</f>
        <v>1080</v>
      </c>
      <c r="G114" s="269"/>
      <c r="H114" s="195"/>
      <c r="I114" s="179"/>
      <c r="J114" s="223"/>
      <c r="K114" s="195">
        <f>IF($J$97=0,0,L114/(J$94+J$95+J96))</f>
        <v>94.311999999999998</v>
      </c>
      <c r="L114" s="181">
        <f>SUMIFS(BV_Data_An_Cour!$O:$O,BV_Data_An_Cour!$U:$U,$B114,BV_Data_An_Cour!$V:$V,$C114,BV_Data_An_Cour!$W:$W,$L$2)</f>
        <v>471.56</v>
      </c>
      <c r="M114" s="223"/>
      <c r="N114" s="225">
        <f t="shared" si="25"/>
        <v>-608.44000000000005</v>
      </c>
      <c r="O114" s="223"/>
      <c r="P114" s="195">
        <f t="shared" si="26"/>
        <v>50.706153846153839</v>
      </c>
      <c r="Q114" s="181">
        <f t="array" ref="Q114">+INDEX('Réel 2024'!$A$2:$AO$501,MATCH($A114,'Réel 2024'!$A$2:$A$501,0),MATCH(Q$2,'Réel 2024'!$A$2:$AO$2,0))</f>
        <v>659.18</v>
      </c>
      <c r="R114" s="223"/>
      <c r="S114" s="197">
        <f t="shared" si="27"/>
        <v>-187.61999999999995</v>
      </c>
      <c r="T114" s="25"/>
      <c r="U114" s="25"/>
      <c r="V114" s="1275" t="s">
        <v>3027</v>
      </c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usagésService gratuit 1</v>
      </c>
      <c r="B115" s="24" t="s">
        <v>140</v>
      </c>
      <c r="C115" s="251" t="s">
        <v>103</v>
      </c>
      <c r="D115" s="249"/>
      <c r="E115" s="195">
        <f t="shared" si="24"/>
        <v>94</v>
      </c>
      <c r="F115" s="179">
        <f>+INDEX('Budget original'!$A$2:$AO$501,MATCH($A115,'Budget original'!$A$2:$A$501,0),MATCH(F$2,'Budget original'!$A$2:$AO$2,0))</f>
        <v>1128</v>
      </c>
      <c r="G115" s="269"/>
      <c r="H115" s="195"/>
      <c r="I115" s="179"/>
      <c r="J115" s="223"/>
      <c r="K115" s="195">
        <f>IF($J$97=0,0,L115/(J$94+J$95+J96))</f>
        <v>38.4</v>
      </c>
      <c r="L115" s="180">
        <f>SUMIFS(BV_Data_An_Cour!$O:$O,BV_Data_An_Cour!$U:$U,$B115,BV_Data_An_Cour!$V:$V,$C115,BV_Data_An_Cour!$W:$W,$L$2)</f>
        <v>192</v>
      </c>
      <c r="M115" s="223"/>
      <c r="N115" s="225">
        <f t="shared" si="25"/>
        <v>-936</v>
      </c>
      <c r="O115" s="223"/>
      <c r="P115" s="195">
        <f t="shared" si="26"/>
        <v>151.87615384615384</v>
      </c>
      <c r="Q115" s="180">
        <f t="array" ref="Q115">+INDEX('Réel 2024'!$A$2:$AO$501,MATCH($A115,'Réel 2024'!$A$2:$A$501,0),MATCH(Q$2,'Réel 2024'!$A$2:$AO$2,0))</f>
        <v>1974.39</v>
      </c>
      <c r="R115" s="223"/>
      <c r="S115" s="197">
        <f t="shared" si="27"/>
        <v>-1782.39</v>
      </c>
      <c r="T115" s="25"/>
      <c r="U115" s="25"/>
      <c r="V115" s="1275" t="s">
        <v>3028</v>
      </c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151.66666666666666</v>
      </c>
      <c r="F116" s="177">
        <f>+INDEX('Budget original'!$A$2:$AO$501,MATCH($A116,'Budget original'!$A$2:$A$501,0),MATCH(F$2,'Budget original'!$A$2:$AO$2,0))</f>
        <v>1820</v>
      </c>
      <c r="G116" s="277"/>
      <c r="H116" s="358"/>
      <c r="I116" s="177"/>
      <c r="J116" s="278"/>
      <c r="K116" s="358">
        <f>IF($J$97=0,0,L116/(J$94+J$95+J96))</f>
        <v>406.464</v>
      </c>
      <c r="L116" s="350">
        <f>SUMIFS(BV_Data_An_Cour!$O:$O,BV_Data_An_Cour!$U:$U,$B116,BV_Data_An_Cour!$V:$V,$C116,BV_Data_An_Cour!$W:$W,$L$2)</f>
        <v>2032.32</v>
      </c>
      <c r="M116" s="278"/>
      <c r="N116" s="279">
        <f t="shared" si="25"/>
        <v>212.31999999999994</v>
      </c>
      <c r="O116" s="278"/>
      <c r="P116" s="358">
        <f t="shared" si="26"/>
        <v>132.74769230769232</v>
      </c>
      <c r="Q116" s="350">
        <f t="array" ref="Q116">+INDEX('Réel 2024'!$A$2:$AO$501,MATCH($A116,'Réel 2024'!$A$2:$A$501,0),MATCH(Q$2,'Réel 2024'!$A$2:$AO$2,0))</f>
        <v>1725.72</v>
      </c>
      <c r="R116" s="278"/>
      <c r="S116" s="200">
        <f t="shared" si="27"/>
        <v>306.59999999999991</v>
      </c>
      <c r="T116" s="25"/>
      <c r="U116" s="25"/>
      <c r="V116" s="1275" t="s">
        <v>3029</v>
      </c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usagésPublicité 1</v>
      </c>
      <c r="B117" s="24" t="s">
        <v>140</v>
      </c>
      <c r="C117" s="251" t="s">
        <v>105</v>
      </c>
      <c r="D117" s="249"/>
      <c r="E117" s="195">
        <f t="shared" si="24"/>
        <v>618.75</v>
      </c>
      <c r="F117" s="179">
        <f>+INDEX('Budget original'!$A$2:$AO$501,MATCH($A117,'Budget original'!$A$2:$A$501,0),MATCH(F$2,'Budget original'!$A$2:$AO$2,0))</f>
        <v>7425</v>
      </c>
      <c r="G117" s="269"/>
      <c r="H117" s="195"/>
      <c r="I117" s="179"/>
      <c r="J117" s="223"/>
      <c r="K117" s="195">
        <f>IF($J$97=0,0,L117/(J$94+J$95+J96))</f>
        <v>-30.7</v>
      </c>
      <c r="L117" s="180">
        <f>SUMIFS(BV_Data_An_Cour!$O:$O,BV_Data_An_Cour!$U:$U,$B117,BV_Data_An_Cour!$V:$V,$C117,BV_Data_An_Cour!$W:$W,$L$2)</f>
        <v>-153.5</v>
      </c>
      <c r="M117" s="223"/>
      <c r="N117" s="225">
        <f t="shared" si="25"/>
        <v>-7578.5</v>
      </c>
      <c r="O117" s="223"/>
      <c r="P117" s="195">
        <f t="shared" si="26"/>
        <v>552.71769230769235</v>
      </c>
      <c r="Q117" s="180">
        <f t="array" ref="Q117">+INDEX('Réel 2024'!$A$2:$AO$501,MATCH($A117,'Réel 2024'!$A$2:$A$501,0),MATCH(Q$2,'Réel 2024'!$A$2:$AO$2,0))</f>
        <v>7185.33</v>
      </c>
      <c r="R117" s="223"/>
      <c r="S117" s="197">
        <f t="shared" si="27"/>
        <v>-7338.83</v>
      </c>
      <c r="T117" s="25"/>
      <c r="U117" s="25"/>
      <c r="V117" s="1275" t="s">
        <v>3049</v>
      </c>
      <c r="W117" s="127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24"/>
        <v>336.1832973588343</v>
      </c>
      <c r="F118" s="179">
        <f>+INDEX('Budget original'!$A$2:$AO$501,MATCH($A118,'Budget original'!$A$2:$A$501,0),MATCH(F$2,'Budget original'!$A$2:$AO$2,0))</f>
        <v>4034.1995683060113</v>
      </c>
      <c r="G118" s="269"/>
      <c r="H118" s="195"/>
      <c r="I118" s="179"/>
      <c r="J118" s="223"/>
      <c r="K118" s="195">
        <f>IF($J$97=0,0,L118/(J$94+J$95+J96))</f>
        <v>403.18200000000002</v>
      </c>
      <c r="L118" s="180">
        <f>SUMIFS(BV_Data_An_Cour!$O:$O,BV_Data_An_Cour!$U:$U,$B118,BV_Data_An_Cour!$V:$V,$C118,BV_Data_An_Cour!$W:$W,$L$2)</f>
        <v>2015.91</v>
      </c>
      <c r="M118" s="223"/>
      <c r="N118" s="225">
        <f t="shared" si="25"/>
        <v>-2018.2895683060112</v>
      </c>
      <c r="O118" s="223"/>
      <c r="P118" s="195">
        <f t="shared" si="26"/>
        <v>357.30538461538464</v>
      </c>
      <c r="Q118" s="180">
        <f t="array" ref="Q118">+INDEX('Réel 2024'!$A$2:$AO$501,MATCH($A118,'Réel 2024'!$A$2:$A$501,0),MATCH(Q$2,'Réel 2024'!$A$2:$AO$2,0))</f>
        <v>4644.97</v>
      </c>
      <c r="R118" s="223"/>
      <c r="S118" s="197">
        <f>L118-Q118</f>
        <v>-2629.0600000000004</v>
      </c>
      <c r="T118" s="25"/>
      <c r="U118" s="25"/>
      <c r="V118" s="1275" t="s">
        <v>3030</v>
      </c>
      <c r="W118" s="1276">
        <f>1879.85+136.05</f>
        <v>2015.8999999999999</v>
      </c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24"/>
        <v>0</v>
      </c>
      <c r="F119" s="179">
        <f>+INDEX('Budget original'!$A$2:$AO$501,MATCH($A119,'Budget original'!$A$2:$A$501,0),MATCH(F$2,'Budget original'!$A$2:$AO$2,0))</f>
        <v>0</v>
      </c>
      <c r="G119" s="269"/>
      <c r="H119" s="195"/>
      <c r="I119" s="179"/>
      <c r="J119" s="223"/>
      <c r="K119" s="195">
        <f t="shared" ref="K119:K121" si="28">IF($J$97=0,0,L119/(J$94+J$95))</f>
        <v>0</v>
      </c>
      <c r="L119" s="180">
        <f>SUMIFS(BV_Data_An_Cour!$O:$O,BV_Data_An_Cour!$U:$U,$B119,BV_Data_An_Cour!$V:$V,$C119,BV_Data_An_Cour!$W:$W,$L$2)</f>
        <v>0</v>
      </c>
      <c r="M119" s="223"/>
      <c r="N119" s="225">
        <f t="shared" si="25"/>
        <v>0</v>
      </c>
      <c r="O119" s="223"/>
      <c r="P119" s="195">
        <f t="shared" si="26"/>
        <v>0</v>
      </c>
      <c r="Q119" s="180">
        <f t="array" ref="Q119">+INDEX('Réel 2024'!$A$2:$AO$501,MATCH($A119,'Réel 2024'!$A$2:$A$501,0),MATCH(Q$2,'Réel 2024'!$A$2:$AO$2,0))</f>
        <v>0</v>
      </c>
      <c r="R119" s="223"/>
      <c r="S119" s="197">
        <f>L119-Q119</f>
        <v>0</v>
      </c>
      <c r="T119" s="25"/>
      <c r="U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24"/>
        <v>0</v>
      </c>
      <c r="F120" s="179">
        <f>+INDEX('Budget original'!$A$2:$AO$501,MATCH($A120,'Budget original'!$A$2:$A$501,0),MATCH(F$2,'Budget original'!$A$2:$AO$2,0))</f>
        <v>0</v>
      </c>
      <c r="G120" s="269"/>
      <c r="H120" s="195"/>
      <c r="I120" s="179"/>
      <c r="J120" s="223"/>
      <c r="K120" s="195">
        <f t="shared" si="28"/>
        <v>0</v>
      </c>
      <c r="L120" s="180">
        <f>SUMIFS(BV_Data_An_Cour!$O:$O,BV_Data_An_Cour!$U:$U,$B120,BV_Data_An_Cour!$V:$V,$C120,BV_Data_An_Cour!$W:$W,$L$2)</f>
        <v>0</v>
      </c>
      <c r="M120" s="223"/>
      <c r="N120" s="225">
        <f t="shared" si="25"/>
        <v>0</v>
      </c>
      <c r="O120" s="223"/>
      <c r="P120" s="195">
        <f t="shared" si="26"/>
        <v>0</v>
      </c>
      <c r="Q120" s="180">
        <f t="array" ref="Q120">+INDEX('Réel 2024'!$A$2:$AO$501,MATCH($A120,'Réel 2024'!$A$2:$A$501,0),MATCH(Q$2,'Réel 2024'!$A$2:$AO$2,0))</f>
        <v>0</v>
      </c>
      <c r="R120" s="223"/>
      <c r="S120" s="197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24"/>
        <v>0</v>
      </c>
      <c r="F121" s="179">
        <f>+INDEX('Budget original'!$A$2:$AO$501,MATCH($A121,'Budget original'!$A$2:$A$501,0),MATCH(F$2,'Budget original'!$A$2:$AO$2,0))</f>
        <v>0</v>
      </c>
      <c r="G121" s="269"/>
      <c r="H121" s="195"/>
      <c r="I121" s="179"/>
      <c r="J121" s="223"/>
      <c r="K121" s="195">
        <f t="shared" si="28"/>
        <v>0</v>
      </c>
      <c r="L121" s="180">
        <f>SUMIFS(BV_Data_An_Cour!$O:$O,BV_Data_An_Cour!$U:$U,$B121,BV_Data_An_Cour!$V:$V,$C121,BV_Data_An_Cour!$W:$W,$L$2)</f>
        <v>0</v>
      </c>
      <c r="M121" s="223"/>
      <c r="N121" s="225">
        <f t="shared" si="25"/>
        <v>0</v>
      </c>
      <c r="O121" s="223"/>
      <c r="P121" s="195">
        <f t="shared" si="26"/>
        <v>0</v>
      </c>
      <c r="Q121" s="180">
        <f t="array" ref="Q121">+INDEX('Réel 2024'!$A$2:$AO$501,MATCH($A121,'Réel 2024'!$A$2:$A$501,0),MATCH(Q$2,'Réel 2024'!$A$2:$AO$2,0))</f>
        <v>0</v>
      </c>
      <c r="R121" s="223"/>
      <c r="S121" s="197">
        <f t="shared" si="27"/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19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0.66175101484085264</v>
      </c>
      <c r="F122" s="41">
        <f>SUM(F112:F121)</f>
        <v>28356.030985930534</v>
      </c>
      <c r="G122" s="42"/>
      <c r="H122" s="40"/>
      <c r="I122" s="41"/>
      <c r="J122" s="42" t="s">
        <v>108</v>
      </c>
      <c r="K122" s="40">
        <f>L122/L$108</f>
        <v>0.54107185926471146</v>
      </c>
      <c r="L122" s="41">
        <f>SUM(L112:L121)</f>
        <v>13863.96</v>
      </c>
      <c r="M122" s="44"/>
      <c r="N122" s="41">
        <f t="shared" si="25"/>
        <v>-14492.070985930535</v>
      </c>
      <c r="O122" s="42" t="s">
        <v>108</v>
      </c>
      <c r="P122" s="40">
        <f>Q122/Q$108</f>
        <v>0.78636762606724764</v>
      </c>
      <c r="Q122" s="41">
        <f>SUM(Q112:Q121)</f>
        <v>31930.080000000002</v>
      </c>
      <c r="R122" s="44"/>
      <c r="S122" s="285">
        <f t="shared" si="27"/>
        <v>-18066.120000000003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usagésSalaires cadres</v>
      </c>
      <c r="B123" s="24" t="s">
        <v>140</v>
      </c>
      <c r="C123" s="267" t="s">
        <v>109</v>
      </c>
      <c r="D123" s="178"/>
      <c r="E123" s="178"/>
      <c r="F123" s="179">
        <f>+INDEX('Budget original'!$A$2:$AO$501,MATCH($A123,'Budget original'!$A$2:$A$501,0),MATCH(F$2,'Budget original'!$A$2:$AO$2,0))</f>
        <v>5140.4031830238728</v>
      </c>
      <c r="G123" s="223"/>
      <c r="H123" s="178"/>
      <c r="I123" s="179"/>
      <c r="J123" s="223"/>
      <c r="K123" s="178"/>
      <c r="L123" s="180">
        <f>SUMIFS(BV_Data_An_Cour!$O:$O,BV_Data_An_Cour!$U:$U,$B123,BV_Data_An_Cour!$V:$V,$C123,BV_Data_An_Cour!$W:$W,$L$2)</f>
        <v>3609.65</v>
      </c>
      <c r="M123" s="223"/>
      <c r="N123" s="225">
        <f t="shared" si="25"/>
        <v>-1530.7531830238727</v>
      </c>
      <c r="O123" s="223"/>
      <c r="P123" s="178"/>
      <c r="Q123" s="180">
        <f t="array" ref="Q123">+INDEX('Réel 2024'!$A$2:$AO$501,MATCH($A123,'Réel 2024'!$A$2:$A$501,0),MATCH(Q$2,'Réel 2024'!$A$2:$AO$2,0))</f>
        <v>3018.38</v>
      </c>
      <c r="R123" s="223"/>
      <c r="S123" s="197">
        <f t="shared" ref="S123:S134" si="29">L123-Q123</f>
        <v>591.27</v>
      </c>
      <c r="T123" s="178"/>
      <c r="U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19"/>
        <v>Véhicules usagésSalaires commis</v>
      </c>
      <c r="B124" s="24" t="s">
        <v>140</v>
      </c>
      <c r="C124" s="268" t="s">
        <v>110</v>
      </c>
      <c r="D124" s="249"/>
      <c r="E124" s="178"/>
      <c r="F124" s="177">
        <f>+INDEX('Budget original'!$A$2:$AO$501,MATCH($A124,'Budget original'!$A$2:$A$501,0),MATCH(F$2,'Budget original'!$A$2:$AO$2,0))</f>
        <v>3407.1664750957852</v>
      </c>
      <c r="G124" s="269"/>
      <c r="H124" s="178"/>
      <c r="I124" s="177"/>
      <c r="J124" s="223"/>
      <c r="K124" s="178"/>
      <c r="L124" s="177">
        <f>SUMIFS(BV_Data_An_Cour!$O:$O,BV_Data_An_Cour!$U:$U,$B124,BV_Data_An_Cour!$V:$V,$C124,BV_Data_An_Cour!$W:$W,$L$2)</f>
        <v>2545.37</v>
      </c>
      <c r="M124" s="223"/>
      <c r="N124" s="225">
        <f t="shared" si="25"/>
        <v>-861.79647509578535</v>
      </c>
      <c r="O124" s="223"/>
      <c r="P124" s="178"/>
      <c r="Q124" s="177">
        <f t="array" ref="Q124">+INDEX('Réel 2024'!$A$2:$AO$501,MATCH($A124,'Réel 2024'!$A$2:$A$501,0),MATCH(Q$2,'Réel 2024'!$A$2:$AO$2,0))</f>
        <v>3804.18</v>
      </c>
      <c r="R124" s="223"/>
      <c r="S124" s="197">
        <f t="shared" si="29"/>
        <v>-1258.81</v>
      </c>
      <c r="T124" s="178"/>
      <c r="U124" s="178"/>
      <c r="V124" s="1275" t="s">
        <v>3033</v>
      </c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19"/>
        <v>Véhicules usagésSalaires autres</v>
      </c>
      <c r="B125" s="24" t="s">
        <v>140</v>
      </c>
      <c r="C125" s="267" t="s">
        <v>111</v>
      </c>
      <c r="D125" s="270"/>
      <c r="E125" s="271"/>
      <c r="F125" s="179">
        <f>+INDEX('Budget original'!$A$2:$AO$501,MATCH($A125,'Budget original'!$A$2:$A$501,0),MATCH(F$2,'Budget original'!$A$2:$AO$2,0))</f>
        <v>2809</v>
      </c>
      <c r="G125" s="272"/>
      <c r="H125" s="271"/>
      <c r="I125" s="179"/>
      <c r="J125" s="273"/>
      <c r="K125" s="271"/>
      <c r="L125" s="180">
        <f>SUMIFS(BV_Data_An_Cour!$O:$O,BV_Data_An_Cour!$U:$U,$B125,BV_Data_An_Cour!$V:$V,$C125,BV_Data_An_Cour!$W:$W,$L$2)</f>
        <v>0</v>
      </c>
      <c r="M125" s="273"/>
      <c r="N125" s="274">
        <f t="shared" si="25"/>
        <v>-2809</v>
      </c>
      <c r="O125" s="273"/>
      <c r="P125" s="271"/>
      <c r="Q125" s="180">
        <f t="array" ref="Q125">+INDEX('Réel 2024'!$A$2:$AO$501,MATCH($A125,'Réel 2024'!$A$2:$A$501,0),MATCH(Q$2,'Réel 2024'!$A$2:$AO$2,0))</f>
        <v>2809</v>
      </c>
      <c r="R125" s="273"/>
      <c r="S125" s="199">
        <f t="shared" si="29"/>
        <v>-2809</v>
      </c>
      <c r="T125" s="178"/>
      <c r="U125" s="178"/>
      <c r="V125" s="1275" t="s">
        <v>3034</v>
      </c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 hidden="1">
      <c r="A126" t="str">
        <f t="shared" si="19"/>
        <v>Véhicules usagésSalaires spécialistes</v>
      </c>
      <c r="B126" s="24" t="s">
        <v>140</v>
      </c>
      <c r="C126" s="267" t="s">
        <v>112</v>
      </c>
      <c r="D126" s="249"/>
      <c r="E126" s="178"/>
      <c r="F126" s="179">
        <f>+INDEX('Budget original'!$A$2:$AO$501,MATCH($A126,'Budget original'!$A$2:$A$501,0),MATCH(F$2,'Budget original'!$A$2:$AO$2,0))</f>
        <v>0</v>
      </c>
      <c r="G126" s="269"/>
      <c r="H126" s="178"/>
      <c r="I126" s="179"/>
      <c r="J126" s="223"/>
      <c r="K126" s="178"/>
      <c r="L126" s="180">
        <f>SUMIFS(BV_Data_An_Cour!$O:$O,BV_Data_An_Cour!$U:$U,$B126,BV_Data_An_Cour!$V:$V,$C126,BV_Data_An_Cour!$W:$W,$L$2)</f>
        <v>0</v>
      </c>
      <c r="M126" s="223"/>
      <c r="N126" s="225">
        <f t="shared" si="25"/>
        <v>0</v>
      </c>
      <c r="O126" s="223"/>
      <c r="P126" s="178"/>
      <c r="Q126" s="180">
        <f t="array" ref="Q126">+INDEX('Réel 2024'!$A$2:$AO$501,MATCH($A126,'Réel 2024'!$A$2:$A$501,0),MATCH(Q$2,'Réel 2024'!$A$2:$AO$2,0))</f>
        <v>0</v>
      </c>
      <c r="R126" s="223"/>
      <c r="S126" s="197">
        <f t="shared" si="29"/>
        <v>0</v>
      </c>
      <c r="T126" s="178"/>
      <c r="U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>
        <f>+INDEX('Budget original'!$A$2:$AO$501,MATCH($A127,'Budget original'!$A$2:$A$501,0),MATCH(F$2,'Budget original'!$A$2:$AO$2,0))</f>
        <v>0</v>
      </c>
      <c r="G127" s="269"/>
      <c r="H127" s="178"/>
      <c r="I127" s="179"/>
      <c r="J127" s="223"/>
      <c r="K127" s="178"/>
      <c r="L127" s="180">
        <f>SUMIFS(BV_Data_An_Cour!$O:$O,BV_Data_An_Cour!$U:$U,$B127,BV_Data_An_Cour!$V:$V,$C127,BV_Data_An_Cour!$W:$W,$L$2)</f>
        <v>0</v>
      </c>
      <c r="M127" s="223"/>
      <c r="N127" s="225">
        <f t="shared" si="25"/>
        <v>0</v>
      </c>
      <c r="O127" s="223"/>
      <c r="P127" s="178"/>
      <c r="Q127" s="180">
        <f t="array" ref="Q127">+INDEX('Réel 2024'!$A$2:$AO$501,MATCH($A127,'Réel 2024'!$A$2:$A$501,0),MATCH(Q$2,'Réel 2024'!$A$2:$AO$2,0))</f>
        <v>0</v>
      </c>
      <c r="R127" s="223"/>
      <c r="S127" s="197">
        <f>L127-Q127</f>
        <v>0</v>
      </c>
      <c r="T127" s="178"/>
      <c r="U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>
        <f>+INDEX('Budget original'!$A$2:$AO$501,MATCH($A128,'Budget original'!$A$2:$A$501,0),MATCH(F$2,'Budget original'!$A$2:$AO$2,0))</f>
        <v>0</v>
      </c>
      <c r="G128" s="269"/>
      <c r="H128" s="178"/>
      <c r="I128" s="179"/>
      <c r="J128" s="223"/>
      <c r="K128" s="178"/>
      <c r="L128" s="180">
        <f>SUMIFS(BV_Data_An_Cour!$O:$O,BV_Data_An_Cour!$U:$U,$B128,BV_Data_An_Cour!$V:$V,$C128,BV_Data_An_Cour!$W:$W,$L$2)</f>
        <v>0</v>
      </c>
      <c r="M128" s="223"/>
      <c r="N128" s="225">
        <f t="shared" si="25"/>
        <v>0</v>
      </c>
      <c r="O128" s="223"/>
      <c r="P128" s="178"/>
      <c r="Q128" s="180">
        <f t="array" ref="Q128">+INDEX('Réel 2024'!$A$2:$AO$501,MATCH($A128,'Réel 2024'!$A$2:$A$501,0),MATCH(Q$2,'Réel 2024'!$A$2:$AO$2,0))</f>
        <v>0</v>
      </c>
      <c r="R128" s="223"/>
      <c r="S128" s="197">
        <f>L128-Q128</f>
        <v>0</v>
      </c>
      <c r="T128" s="178"/>
      <c r="U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>
        <f>+INDEX('Budget original'!$A$2:$AO$501,MATCH($A129,'Budget original'!$A$2:$A$501,0),MATCH(F$2,'Budget original'!$A$2:$AO$2,0))</f>
        <v>0</v>
      </c>
      <c r="G129" s="269"/>
      <c r="H129" s="178"/>
      <c r="I129" s="179"/>
      <c r="J129" s="223"/>
      <c r="K129" s="178"/>
      <c r="L129" s="180">
        <f>SUMIFS(BV_Data_An_Cour!$O:$O,BV_Data_An_Cour!$U:$U,$B129,BV_Data_An_Cour!$V:$V,$C129,BV_Data_An_Cour!$W:$W,$L$2)</f>
        <v>0</v>
      </c>
      <c r="M129" s="223"/>
      <c r="N129" s="225">
        <f t="shared" si="25"/>
        <v>0</v>
      </c>
      <c r="O129" s="223"/>
      <c r="P129" s="178"/>
      <c r="Q129" s="180">
        <f t="array" ref="Q129">+INDEX('Réel 2024'!$A$2:$AO$501,MATCH($A129,'Réel 2024'!$A$2:$A$501,0),MATCH(Q$2,'Réel 2024'!$A$2:$AO$2,0))</f>
        <v>0</v>
      </c>
      <c r="R129" s="223"/>
      <c r="S129" s="197">
        <f>L129-Q129</f>
        <v>0</v>
      </c>
      <c r="T129" s="178"/>
      <c r="U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19"/>
        <v>Véhicules usagésSalaires en absences</v>
      </c>
      <c r="B130" s="24" t="s">
        <v>140</v>
      </c>
      <c r="C130" s="268" t="s">
        <v>113</v>
      </c>
      <c r="D130" s="249"/>
      <c r="E130" s="178"/>
      <c r="F130" s="179">
        <f>+INDEX('Budget original'!$A$2:$AO$501,MATCH($A130,'Budget original'!$A$2:$A$501,0),MATCH(F$2,'Budget original'!$A$2:$AO$2,0))</f>
        <v>4882.8006544433583</v>
      </c>
      <c r="G130" s="269"/>
      <c r="H130" s="178"/>
      <c r="I130" s="179"/>
      <c r="J130" s="223"/>
      <c r="K130" s="178"/>
      <c r="L130" s="180">
        <f>SUMIFS(BV_Data_An_Cour!$O:$O,BV_Data_An_Cour!$U:$U,$B130,BV_Data_An_Cour!$V:$V,$C130,BV_Data_An_Cour!$W:$W,$L$2)</f>
        <v>2055.12</v>
      </c>
      <c r="M130" s="223"/>
      <c r="N130" s="225">
        <f t="shared" si="25"/>
        <v>-2827.6806544433584</v>
      </c>
      <c r="O130" s="223"/>
      <c r="P130" s="178"/>
      <c r="Q130" s="180">
        <f t="array" ref="Q130">+INDEX('Réel 2024'!$A$2:$AO$501,MATCH($A130,'Réel 2024'!$A$2:$A$501,0),MATCH(Q$2,'Réel 2024'!$A$2:$AO$2,0))</f>
        <v>8316.49</v>
      </c>
      <c r="R130" s="223"/>
      <c r="S130" s="197">
        <f>L130-Q130</f>
        <v>-6261.37</v>
      </c>
      <c r="T130" s="25"/>
      <c r="U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19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f>+INDEX('Budget original'!$A$2:$AO$501,MATCH($A131,'Budget original'!$A$2:$A$501,0),MATCH(F$2,'Budget original'!$A$2:$AO$2,0))</f>
        <v>2929.5754139522546</v>
      </c>
      <c r="G131" s="272"/>
      <c r="H131" s="271"/>
      <c r="I131" s="373"/>
      <c r="J131" s="273"/>
      <c r="K131" s="271"/>
      <c r="L131" s="374">
        <f>SUMIFS(BV_Data_An_Cour!$O:$O,BV_Data_An_Cour!$U:$U,$B131,BV_Data_An_Cour!$V:$V,$C131,BV_Data_An_Cour!$W:$W,$L$2)</f>
        <v>2387.29</v>
      </c>
      <c r="M131" s="273"/>
      <c r="N131" s="274">
        <f t="shared" si="25"/>
        <v>-542.28541395225466</v>
      </c>
      <c r="O131" s="273"/>
      <c r="P131" s="271"/>
      <c r="Q131" s="374">
        <f t="array" ref="Q131">+INDEX('Réel 2024'!$A$2:$AO$501,MATCH($A131,'Réel 2024'!$A$2:$A$501,0),MATCH(Q$2,'Réel 2024'!$A$2:$AO$2,0))</f>
        <v>3303.92</v>
      </c>
      <c r="R131" s="273"/>
      <c r="S131" s="199">
        <f t="shared" si="29"/>
        <v>-916.63000000000011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usagésBénéfices marginaux</v>
      </c>
      <c r="B132" s="24" t="s">
        <v>140</v>
      </c>
      <c r="C132" s="267" t="s">
        <v>115</v>
      </c>
      <c r="D132" s="249"/>
      <c r="E132" s="178"/>
      <c r="F132" s="179">
        <f>+INDEX('Budget original'!$A$2:$AO$501,MATCH($A132,'Budget original'!$A$2:$A$501,0),MATCH(F$2,'Budget original'!$A$2:$AO$2,0))</f>
        <v>1798.8620962864723</v>
      </c>
      <c r="G132" s="269"/>
      <c r="H132" s="178"/>
      <c r="I132" s="179"/>
      <c r="J132" s="223"/>
      <c r="K132" s="178"/>
      <c r="L132" s="180">
        <f>SUMIFS(BV_Data_An_Cour!$O:$O,BV_Data_An_Cour!$U:$U,$B132,BV_Data_An_Cour!$V:$V,$C132,BV_Data_An_Cour!$W:$W,$L$2)</f>
        <v>1383.53</v>
      </c>
      <c r="M132" s="223"/>
      <c r="N132" s="225">
        <f t="shared" si="25"/>
        <v>-415.33209628647228</v>
      </c>
      <c r="O132" s="223"/>
      <c r="P132" s="178"/>
      <c r="Q132" s="180">
        <f t="array" ref="Q132">+INDEX('Réel 2024'!$A$2:$AO$501,MATCH($A132,'Réel 2024'!$A$2:$A$501,0),MATCH(Q$2,'Réel 2024'!$A$2:$AO$2,0))</f>
        <v>3132.07</v>
      </c>
      <c r="R132" s="223"/>
      <c r="S132" s="197">
        <f t="shared" si="29"/>
        <v>-1748.5400000000002</v>
      </c>
      <c r="T132" s="178"/>
      <c r="U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19"/>
        <v>Véhicules usagésCsst</v>
      </c>
      <c r="B133" s="24" t="s">
        <v>140</v>
      </c>
      <c r="C133" s="267" t="s">
        <v>116</v>
      </c>
      <c r="D133" s="249"/>
      <c r="E133" s="178"/>
      <c r="F133" s="179">
        <f>+INDEX('Budget original'!$A$2:$AO$501,MATCH($A133,'Budget original'!$A$2:$A$501,0),MATCH(F$2,'Budget original'!$A$2:$AO$2,0))</f>
        <v>385.47044920424401</v>
      </c>
      <c r="G133" s="269"/>
      <c r="H133" s="178"/>
      <c r="I133" s="179"/>
      <c r="J133" s="223"/>
      <c r="K133" s="178"/>
      <c r="L133" s="180">
        <f>SUMIFS(BV_Data_An_Cour!$O:$O,BV_Data_An_Cour!$U:$U,$B133,BV_Data_An_Cour!$V:$V,$C133,BV_Data_An_Cour!$W:$W,$L$2)</f>
        <v>621.11</v>
      </c>
      <c r="M133" s="223"/>
      <c r="N133" s="225">
        <f t="shared" si="25"/>
        <v>235.63955079575601</v>
      </c>
      <c r="O133" s="223"/>
      <c r="P133" s="178"/>
      <c r="Q133" s="180">
        <f t="array" ref="Q133">+INDEX('Réel 2024'!$A$2:$AO$501,MATCH($A133,'Réel 2024'!$A$2:$A$501,0),MATCH(Q$2,'Réel 2024'!$A$2:$AO$2,0))</f>
        <v>81.52</v>
      </c>
      <c r="R133" s="223"/>
      <c r="S133" s="197">
        <f t="shared" si="29"/>
        <v>539.59</v>
      </c>
      <c r="T133" s="178"/>
      <c r="U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19"/>
        <v>Véhicules usagés[...]</v>
      </c>
      <c r="B134" s="24" t="s">
        <v>140</v>
      </c>
      <c r="C134" s="251" t="s">
        <v>42</v>
      </c>
      <c r="D134" s="275"/>
      <c r="E134" s="276"/>
      <c r="F134" s="179">
        <f>+INDEX('Budget original'!$A$2:$AO$501,MATCH($A134,'Budget original'!$A$2:$A$501,0),MATCH(F$2,'Budget original'!$A$2:$AO$2,0))</f>
        <v>0</v>
      </c>
      <c r="G134" s="277"/>
      <c r="H134" s="276"/>
      <c r="I134" s="179"/>
      <c r="J134" s="278"/>
      <c r="K134" s="276"/>
      <c r="L134" s="180">
        <f>SUMIFS(BV_Data_An_Cour!$O:$O,BV_Data_An_Cour!$U:$U,$B134,BV_Data_An_Cour!$V:$V,$C134,BV_Data_An_Cour!$W:$W,$L$2)</f>
        <v>0</v>
      </c>
      <c r="M134" s="223"/>
      <c r="N134" s="225">
        <f t="shared" si="25"/>
        <v>0</v>
      </c>
      <c r="O134" s="278"/>
      <c r="P134" s="276"/>
      <c r="Q134" s="180">
        <f t="array" ref="Q134">+INDEX('Réel 2024'!$A$2:$AO$501,MATCH($A134,'Réel 2024'!$A$2:$A$501,0),MATCH(Q$2,'Réel 2024'!$A$2:$AO$2,0))</f>
        <v>0</v>
      </c>
      <c r="R134" s="278"/>
      <c r="S134" s="200">
        <f t="shared" si="29"/>
        <v>0</v>
      </c>
      <c r="T134" s="178"/>
      <c r="U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19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0.4983262140491479</v>
      </c>
      <c r="F135" s="41">
        <f>+SUM(F123:F134)</f>
        <v>21353.278272005988</v>
      </c>
      <c r="G135" s="42"/>
      <c r="H135" s="40"/>
      <c r="I135" s="41"/>
      <c r="J135" s="42" t="s">
        <v>108</v>
      </c>
      <c r="K135" s="40">
        <f>L135/L$108</f>
        <v>0.49182379677119981</v>
      </c>
      <c r="L135" s="41">
        <f>SUM(L123:L134)</f>
        <v>12602.070000000002</v>
      </c>
      <c r="M135" s="1018"/>
      <c r="N135" s="1019">
        <f t="shared" si="25"/>
        <v>-8751.2082720059861</v>
      </c>
      <c r="O135" s="42" t="s">
        <v>108</v>
      </c>
      <c r="P135" s="40">
        <f>Q135/Q$108</f>
        <v>0.60253291998033864</v>
      </c>
      <c r="Q135" s="41">
        <f>+SUM(Q123:Q134)</f>
        <v>24465.56</v>
      </c>
      <c r="R135" s="43"/>
      <c r="S135" s="281">
        <f t="shared" ref="S135:S148" si="30">L135-Q135</f>
        <v>-11863.49</v>
      </c>
      <c r="T135" s="25"/>
      <c r="U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19"/>
        <v>Véhicules usagésPublicité 2</v>
      </c>
      <c r="B136" s="24" t="s">
        <v>140</v>
      </c>
      <c r="C136" s="251" t="s">
        <v>118</v>
      </c>
      <c r="D136" s="249"/>
      <c r="E136" s="178"/>
      <c r="F136" s="179">
        <f>+INDEX('Budget original'!$A$2:$AO$501,MATCH($A136,'Budget original'!$A$2:$A$501,0),MATCH(F$2,'Budget original'!$A$2:$AO$2,0))</f>
        <v>0</v>
      </c>
      <c r="G136" s="269"/>
      <c r="H136" s="178"/>
      <c r="I136" s="179"/>
      <c r="J136" s="223"/>
      <c r="K136" s="178"/>
      <c r="L136" s="180">
        <f>SUMIFS(BV_Data_An_Cour!$O:$O,BV_Data_An_Cour!$U:$U,$B136,BV_Data_An_Cour!$V:$V,$C136,BV_Data_An_Cour!$W:$W,$L$2)</f>
        <v>0</v>
      </c>
      <c r="M136" s="223"/>
      <c r="N136" s="225">
        <f t="shared" si="25"/>
        <v>0</v>
      </c>
      <c r="O136" s="223"/>
      <c r="P136" s="178"/>
      <c r="Q136" s="180">
        <f t="array" ref="Q136">+INDEX('Réel 2024'!$A$2:$AO$501,MATCH($A136,'Réel 2024'!$A$2:$A$501,0),MATCH(Q$2,'Réel 2024'!$A$2:$AO$2,0))</f>
        <v>0</v>
      </c>
      <c r="R136" s="223"/>
      <c r="S136" s="197">
        <f t="shared" si="30"/>
        <v>0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usagésService gratuit 2</v>
      </c>
      <c r="B137" s="24" t="s">
        <v>140</v>
      </c>
      <c r="C137" s="251" t="s">
        <v>119</v>
      </c>
      <c r="D137" s="249"/>
      <c r="E137" s="178"/>
      <c r="F137" s="179">
        <f>+INDEX('Budget original'!$A$2:$AO$501,MATCH($A137,'Budget original'!$A$2:$A$501,0),MATCH(F$2,'Budget original'!$A$2:$AO$2,0))</f>
        <v>0</v>
      </c>
      <c r="G137" s="269"/>
      <c r="H137" s="178"/>
      <c r="I137" s="179"/>
      <c r="J137" s="223"/>
      <c r="K137" s="178"/>
      <c r="L137" s="180">
        <f>SUMIFS(BV_Data_An_Cour!$O:$O,BV_Data_An_Cour!$U:$U,$B137,BV_Data_An_Cour!$V:$V,$C137,BV_Data_An_Cour!$W:$W,$L$2)</f>
        <v>0</v>
      </c>
      <c r="M137" s="223"/>
      <c r="N137" s="225">
        <f t="shared" si="25"/>
        <v>0</v>
      </c>
      <c r="O137" s="223"/>
      <c r="P137" s="178"/>
      <c r="Q137" s="180">
        <f t="array" ref="Q137">+INDEX('Réel 2024'!$A$2:$AO$501,MATCH($A137,'Réel 2024'!$A$2:$A$501,0),MATCH(Q$2,'Réel 2024'!$A$2:$AO$2,0))</f>
        <v>0</v>
      </c>
      <c r="R137" s="223"/>
      <c r="S137" s="197">
        <f t="shared" si="30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19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f>+INDEX('Budget original'!$A$2:$AO$501,MATCH($A138,'Budget original'!$A$2:$A$501,0),MATCH(F$2,'Budget original'!$A$2:$AO$2,0))</f>
        <v>943.63333333333344</v>
      </c>
      <c r="G138" s="277"/>
      <c r="H138" s="276"/>
      <c r="I138" s="177"/>
      <c r="J138" s="278"/>
      <c r="K138" s="276"/>
      <c r="L138" s="177">
        <f>SUMIFS(BV_Data_An_Cour!$O:$O,BV_Data_An_Cour!$U:$U,$B138,BV_Data_An_Cour!$V:$V,$C138,BV_Data_An_Cour!$W:$W,$L$2)</f>
        <v>720.21</v>
      </c>
      <c r="M138" s="278"/>
      <c r="N138" s="279">
        <f t="shared" si="25"/>
        <v>-223.4233333333334</v>
      </c>
      <c r="O138" s="278"/>
      <c r="P138" s="276"/>
      <c r="Q138" s="177">
        <f t="array" ref="Q138">+INDEX('Réel 2024'!$A$2:$AO$501,MATCH($A138,'Réel 2024'!$A$2:$A$501,0),MATCH(Q$2,'Réel 2024'!$A$2:$AO$2,0))</f>
        <v>1705.44</v>
      </c>
      <c r="R138" s="278"/>
      <c r="S138" s="200">
        <f t="shared" si="30"/>
        <v>-985.23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usagésInformatique</v>
      </c>
      <c r="B139" s="24" t="s">
        <v>140</v>
      </c>
      <c r="C139" s="251" t="s">
        <v>121</v>
      </c>
      <c r="D139" s="249"/>
      <c r="E139" s="178"/>
      <c r="F139" s="179">
        <f>+INDEX('Budget original'!$A$2:$AO$501,MATCH($A139,'Budget original'!$A$2:$A$501,0),MATCH(F$2,'Budget original'!$A$2:$AO$2,0))</f>
        <v>1425.4</v>
      </c>
      <c r="G139" s="269"/>
      <c r="H139" s="178"/>
      <c r="I139" s="179"/>
      <c r="J139" s="223"/>
      <c r="K139" s="178"/>
      <c r="L139" s="180">
        <f>SUMIFS(BV_Data_An_Cour!$O:$O,BV_Data_An_Cour!$U:$U,$B139,BV_Data_An_Cour!$V:$V,$C139,BV_Data_An_Cour!$W:$W,$L$2)</f>
        <v>1821.15</v>
      </c>
      <c r="M139" s="223"/>
      <c r="N139" s="225">
        <f t="shared" si="25"/>
        <v>395.75</v>
      </c>
      <c r="O139" s="223"/>
      <c r="P139" s="178"/>
      <c r="Q139" s="180">
        <f t="array" ref="Q139">+INDEX('Réel 2024'!$A$2:$AO$501,MATCH($A139,'Réel 2024'!$A$2:$A$501,0),MATCH(Q$2,'Réel 2024'!$A$2:$AO$2,0))</f>
        <v>1542.19</v>
      </c>
      <c r="R139" s="223"/>
      <c r="S139" s="197">
        <f t="shared" si="30"/>
        <v>278.96000000000004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usagésFrais de déplacement</v>
      </c>
      <c r="B140" s="24" t="s">
        <v>140</v>
      </c>
      <c r="C140" s="251" t="s">
        <v>122</v>
      </c>
      <c r="D140" s="249"/>
      <c r="E140" s="178"/>
      <c r="F140" s="179">
        <f>+INDEX('Budget original'!$A$2:$AO$501,MATCH($A140,'Budget original'!$A$2:$A$501,0),MATCH(F$2,'Budget original'!$A$2:$AO$2,0))</f>
        <v>183.33333333333334</v>
      </c>
      <c r="G140" s="269"/>
      <c r="H140" s="178"/>
      <c r="I140" s="179"/>
      <c r="J140" s="223"/>
      <c r="K140" s="178"/>
      <c r="L140" s="180">
        <f>SUMIFS(BV_Data_An_Cour!$O:$O,BV_Data_An_Cour!$U:$U,$B140,BV_Data_An_Cour!$V:$V,$C140,BV_Data_An_Cour!$W:$W,$L$2)</f>
        <v>50.94</v>
      </c>
      <c r="M140" s="223"/>
      <c r="N140" s="225">
        <f t="shared" si="25"/>
        <v>-132.39333333333335</v>
      </c>
      <c r="O140" s="223"/>
      <c r="P140" s="178"/>
      <c r="Q140" s="180">
        <f t="array" ref="Q140">+INDEX('Réel 2024'!$A$2:$AO$501,MATCH($A140,'Réel 2024'!$A$2:$A$501,0),MATCH(Q$2,'Réel 2024'!$A$2:$AO$2,0))</f>
        <v>794.63</v>
      </c>
      <c r="R140" s="223"/>
      <c r="S140" s="197">
        <f t="shared" si="30"/>
        <v>-743.69</v>
      </c>
      <c r="T140" s="453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f>+INDEX('Budget original'!$A$2:$AO$501,MATCH($A141,'Budget original'!$A$2:$A$501,0),MATCH(F$2,'Budget original'!$A$2:$AO$2,0))</f>
        <v>736.6</v>
      </c>
      <c r="G141" s="277"/>
      <c r="H141" s="276"/>
      <c r="I141" s="177"/>
      <c r="J141" s="278"/>
      <c r="K141" s="276"/>
      <c r="L141" s="177">
        <f>SUMIFS(BV_Data_An_Cour!$O:$O,BV_Data_An_Cour!$U:$U,$B141,BV_Data_An_Cour!$V:$V,$C141,BV_Data_An_Cour!$W:$W,$L$2)</f>
        <v>1124.04</v>
      </c>
      <c r="M141" s="278"/>
      <c r="N141" s="279">
        <f t="shared" si="25"/>
        <v>387.43999999999994</v>
      </c>
      <c r="O141" s="278"/>
      <c r="P141" s="276"/>
      <c r="Q141" s="177">
        <f t="array" ref="Q141">+INDEX('Réel 2024'!$A$2:$AO$501,MATCH($A141,'Réel 2024'!$A$2:$A$501,0),MATCH(Q$2,'Réel 2024'!$A$2:$AO$2,0))</f>
        <v>1317.83</v>
      </c>
      <c r="R141" s="278"/>
      <c r="S141" s="200">
        <f t="shared" si="30"/>
        <v>-193.78999999999996</v>
      </c>
      <c r="T141" s="25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usagésFournitures autres</v>
      </c>
      <c r="B142" s="24" t="s">
        <v>140</v>
      </c>
      <c r="C142" s="251" t="s">
        <v>124</v>
      </c>
      <c r="D142" s="249"/>
      <c r="E142" s="178"/>
      <c r="F142" s="179">
        <f>+INDEX('Budget original'!$A$2:$AO$501,MATCH($A142,'Budget original'!$A$2:$A$501,0),MATCH(F$2,'Budget original'!$A$2:$AO$2,0))</f>
        <v>17.5</v>
      </c>
      <c r="G142" s="269"/>
      <c r="H142" s="178"/>
      <c r="I142" s="179"/>
      <c r="J142" s="223"/>
      <c r="K142" s="178"/>
      <c r="L142" s="180">
        <f>SUMIFS(BV_Data_An_Cour!$O:$O,BV_Data_An_Cour!$U:$U,$B142,BV_Data_An_Cour!$V:$V,$C142,BV_Data_An_Cour!$W:$W,$L$2)</f>
        <v>2.92</v>
      </c>
      <c r="M142" s="223"/>
      <c r="N142" s="225">
        <f t="shared" si="25"/>
        <v>-14.58</v>
      </c>
      <c r="O142" s="223"/>
      <c r="P142" s="178"/>
      <c r="Q142" s="180">
        <f t="array" ref="Q142">+INDEX('Réel 2024'!$A$2:$AO$501,MATCH($A142,'Réel 2024'!$A$2:$A$501,0),MATCH(Q$2,'Réel 2024'!$A$2:$AO$2,0))</f>
        <v>108.11</v>
      </c>
      <c r="R142" s="223"/>
      <c r="S142" s="197">
        <f t="shared" si="30"/>
        <v>-105.19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usagésUniformes</v>
      </c>
      <c r="B143" s="24" t="s">
        <v>140</v>
      </c>
      <c r="C143" s="251" t="s">
        <v>125</v>
      </c>
      <c r="D143" s="249"/>
      <c r="E143" s="178"/>
      <c r="F143" s="179">
        <f>+INDEX('Budget original'!$A$2:$AO$501,MATCH($A143,'Budget original'!$A$2:$A$501,0),MATCH(F$2,'Budget original'!$A$2:$AO$2,0))</f>
        <v>10</v>
      </c>
      <c r="G143" s="269"/>
      <c r="H143" s="178"/>
      <c r="I143" s="179"/>
      <c r="J143" s="223"/>
      <c r="K143" s="178"/>
      <c r="L143" s="180">
        <f>SUMIFS(BV_Data_An_Cour!$O:$O,BV_Data_An_Cour!$U:$U,$B143,BV_Data_An_Cour!$V:$V,$C143,BV_Data_An_Cour!$W:$W,$L$2)</f>
        <v>0</v>
      </c>
      <c r="M143" s="223"/>
      <c r="N143" s="225">
        <f t="shared" si="25"/>
        <v>-10</v>
      </c>
      <c r="O143" s="223"/>
      <c r="P143" s="178"/>
      <c r="Q143" s="180">
        <f t="array" ref="Q143">+INDEX('Réel 2024'!$A$2:$AO$501,MATCH($A143,'Réel 2024'!$A$2:$A$501,0),MATCH(Q$2,'Réel 2024'!$A$2:$AO$2,0))</f>
        <v>0</v>
      </c>
      <c r="R143" s="223"/>
      <c r="S143" s="197">
        <f t="shared" si="30"/>
        <v>0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usagésPapeterie</v>
      </c>
      <c r="B144" s="24" t="s">
        <v>140</v>
      </c>
      <c r="C144" s="251" t="s">
        <v>126</v>
      </c>
      <c r="D144" s="249"/>
      <c r="E144" s="178"/>
      <c r="F144" s="179">
        <f>+INDEX('Budget original'!$A$2:$AO$501,MATCH($A144,'Budget original'!$A$2:$A$501,0),MATCH(F$2,'Budget original'!$A$2:$AO$2,0))</f>
        <v>157.5</v>
      </c>
      <c r="G144" s="269"/>
      <c r="H144" s="178"/>
      <c r="I144" s="179"/>
      <c r="J144" s="223"/>
      <c r="K144" s="178"/>
      <c r="L144" s="473">
        <f>SUMIFS(BV_Data_An_Cour!$O:$O,BV_Data_An_Cour!$U:$U,$B144,BV_Data_An_Cour!$V:$V,$C144,BV_Data_An_Cour!$W:$W,$L$2)</f>
        <v>37.82</v>
      </c>
      <c r="M144" s="223"/>
      <c r="N144" s="225">
        <f t="shared" si="25"/>
        <v>-119.68</v>
      </c>
      <c r="O144" s="223"/>
      <c r="P144" s="178"/>
      <c r="Q144" s="473">
        <f t="array" ref="Q144">+INDEX('Réel 2024'!$A$2:$AO$501,MATCH($A144,'Réel 2024'!$A$2:$A$501,0),MATCH(Q$2,'Réel 2024'!$A$2:$AO$2,0))</f>
        <v>107.41</v>
      </c>
      <c r="R144" s="223"/>
      <c r="S144" s="197">
        <f t="shared" si="30"/>
        <v>-69.59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usagésTéléphone</v>
      </c>
      <c r="B145" s="24" t="s">
        <v>140</v>
      </c>
      <c r="C145" s="251" t="s">
        <v>127</v>
      </c>
      <c r="D145" s="249"/>
      <c r="E145" s="178"/>
      <c r="F145" s="179">
        <f>+INDEX('Budget original'!$A$2:$AO$501,MATCH($A145,'Budget original'!$A$2:$A$501,0),MATCH(F$2,'Budget original'!$A$2:$AO$2,0))</f>
        <v>63.2</v>
      </c>
      <c r="G145" s="269"/>
      <c r="H145" s="178"/>
      <c r="I145" s="179"/>
      <c r="J145" s="223"/>
      <c r="K145" s="178"/>
      <c r="L145" s="180">
        <f>SUMIFS(BV_Data_An_Cour!$O:$O,BV_Data_An_Cour!$U:$U,$B145,BV_Data_An_Cour!$V:$V,$C145,BV_Data_An_Cour!$W:$W,$L$2)</f>
        <v>97.56</v>
      </c>
      <c r="M145" s="223"/>
      <c r="N145" s="225">
        <f t="shared" si="25"/>
        <v>34.36</v>
      </c>
      <c r="O145" s="223"/>
      <c r="P145" s="178"/>
      <c r="Q145" s="180">
        <f t="array" ref="Q145">+INDEX('Réel 2024'!$A$2:$AO$501,MATCH($A145,'Réel 2024'!$A$2:$A$501,0),MATCH(Q$2,'Réel 2024'!$A$2:$AO$2,0))</f>
        <v>62.09</v>
      </c>
      <c r="R145" s="223"/>
      <c r="S145" s="197">
        <f t="shared" si="30"/>
        <v>35.47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usagésFrais postaux</v>
      </c>
      <c r="B146" s="24" t="s">
        <v>140</v>
      </c>
      <c r="C146" s="251" t="s">
        <v>128</v>
      </c>
      <c r="D146" s="249"/>
      <c r="E146" s="178"/>
      <c r="F146" s="179">
        <f>+INDEX('Budget original'!$A$2:$AO$501,MATCH($A146,'Budget original'!$A$2:$A$501,0),MATCH(F$2,'Budget original'!$A$2:$AO$2,0))</f>
        <v>45</v>
      </c>
      <c r="G146" s="269"/>
      <c r="H146" s="178"/>
      <c r="I146" s="179"/>
      <c r="J146" s="223"/>
      <c r="K146" s="178"/>
      <c r="L146" s="180">
        <f>SUMIFS(BV_Data_An_Cour!$O:$O,BV_Data_An_Cour!$U:$U,$B146,BV_Data_An_Cour!$V:$V,$C146,BV_Data_An_Cour!$W:$W,$L$2)</f>
        <v>14.42</v>
      </c>
      <c r="M146" s="223"/>
      <c r="N146" s="225">
        <f t="shared" si="25"/>
        <v>-30.58</v>
      </c>
      <c r="O146" s="223"/>
      <c r="P146" s="178"/>
      <c r="Q146" s="180">
        <f t="array" ref="Q146">+INDEX('Réel 2024'!$A$2:$AO$501,MATCH($A146,'Réel 2024'!$A$2:$A$501,0),MATCH(Q$2,'Réel 2024'!$A$2:$AO$2,0))</f>
        <v>53.84</v>
      </c>
      <c r="R146" s="223"/>
      <c r="S146" s="197">
        <f t="shared" si="30"/>
        <v>-39.42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usagésDivers</v>
      </c>
      <c r="B147" s="24" t="s">
        <v>140</v>
      </c>
      <c r="C147" s="251" t="s">
        <v>129</v>
      </c>
      <c r="D147" s="249"/>
      <c r="E147" s="178"/>
      <c r="F147" s="179">
        <f>+INDEX('Budget original'!$A$2:$AO$501,MATCH($A147,'Budget original'!$A$2:$A$501,0),MATCH(F$2,'Budget original'!$A$2:$AO$2,0))</f>
        <v>174.10000000000002</v>
      </c>
      <c r="G147" s="269"/>
      <c r="H147" s="178"/>
      <c r="I147" s="179"/>
      <c r="J147" s="223"/>
      <c r="K147" s="178"/>
      <c r="L147" s="180">
        <f>SUMIFS(BV_Data_An_Cour!$O:$O,BV_Data_An_Cour!$U:$U,$B147,BV_Data_An_Cour!$V:$V,$C147,BV_Data_An_Cour!$W:$W,$L$2)</f>
        <v>136</v>
      </c>
      <c r="M147" s="223"/>
      <c r="N147" s="225">
        <f t="shared" si="25"/>
        <v>-38.100000000000023</v>
      </c>
      <c r="O147" s="223"/>
      <c r="P147" s="178"/>
      <c r="Q147" s="180">
        <f t="array" ref="Q147">+INDEX('Réel 2024'!$A$2:$AO$501,MATCH($A147,'Réel 2024'!$A$2:$A$501,0),MATCH(Q$2,'Réel 2024'!$A$2:$AO$2,0))</f>
        <v>238.98</v>
      </c>
      <c r="R147" s="223"/>
      <c r="S147" s="197">
        <f t="shared" si="30"/>
        <v>-102.97999999999999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usagésFormation</v>
      </c>
      <c r="B148" s="24" t="s">
        <v>140</v>
      </c>
      <c r="C148" s="251" t="s">
        <v>130</v>
      </c>
      <c r="D148" s="249"/>
      <c r="E148" s="178"/>
      <c r="F148" s="179">
        <f>+INDEX('Budget original'!$A$2:$AO$501,MATCH($A148,'Budget original'!$A$2:$A$501,0),MATCH(F$2,'Budget original'!$A$2:$AO$2,0))</f>
        <v>124.04077999999998</v>
      </c>
      <c r="G148" s="269"/>
      <c r="H148" s="178"/>
      <c r="I148" s="179"/>
      <c r="J148" s="223"/>
      <c r="K148" s="178"/>
      <c r="L148" s="225">
        <f>SUMIFS(BV_Data_An_Cour!$O:$O,BV_Data_An_Cour!$U:$U,$B148,BV_Data_An_Cour!$V:$V,$C148,BV_Data_An_Cour!$W:$W,$L$2)</f>
        <v>205.67</v>
      </c>
      <c r="M148" s="223"/>
      <c r="N148" s="225">
        <f t="shared" si="25"/>
        <v>81.629220000000004</v>
      </c>
      <c r="O148" s="223"/>
      <c r="P148" s="178"/>
      <c r="Q148" s="180">
        <f t="array" ref="Q148">+INDEX('Réel 2024'!$A$2:$AO$501,MATCH($A148,'Réel 2024'!$A$2:$A$501,0),MATCH(Q$2,'Réel 2024'!$A$2:$AO$2,0))</f>
        <v>73.73</v>
      </c>
      <c r="R148" s="223"/>
      <c r="S148" s="197">
        <f t="shared" si="30"/>
        <v>131.94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>
        <f>+INDEX('Budget original'!$A$2:$AO$501,MATCH($A149,'Budget original'!$A$2:$A$501,0),MATCH(F$2,'Budget original'!$A$2:$AO$2,0))</f>
        <v>476.12587241256836</v>
      </c>
      <c r="G149" s="269"/>
      <c r="H149" s="178"/>
      <c r="I149" s="179"/>
      <c r="J149" s="223"/>
      <c r="K149" s="178"/>
      <c r="L149" s="180">
        <f>SUMIFS(BV_Data_An_Cour!$O:$O,BV_Data_An_Cour!$U:$U,$B149,BV_Data_An_Cour!$V:$V,$C149,BV_Data_An_Cour!$W:$W,$L$2)</f>
        <v>511.52</v>
      </c>
      <c r="M149" s="223"/>
      <c r="N149" s="225">
        <f t="shared" si="25"/>
        <v>35.394127587431626</v>
      </c>
      <c r="O149" s="223"/>
      <c r="P149" s="178"/>
      <c r="Q149" s="180">
        <f t="array" ref="Q149">+INDEX('Réel 2024'!$A$2:$AO$501,MATCH($A149,'Réel 2024'!$A$2:$A$501,0),MATCH(Q$2,'Réel 2024'!$A$2:$AO$2,0))</f>
        <v>568.13</v>
      </c>
      <c r="R149" s="223"/>
      <c r="S149" s="197">
        <f>L149-Q149</f>
        <v>-56.610000000000014</v>
      </c>
      <c r="T149" s="37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>
        <f>+INDEX('Budget original'!$A$2:$AO$501,MATCH($A150,'Budget original'!$A$2:$A$501,0),MATCH(F$2,'Budget original'!$A$2:$AO$2,0))</f>
        <v>0</v>
      </c>
      <c r="G150" s="269"/>
      <c r="H150" s="178"/>
      <c r="I150" s="179"/>
      <c r="J150" s="223"/>
      <c r="K150" s="178"/>
      <c r="L150" s="180">
        <f>SUMIFS(BV_Data_An_Cour!$O:$O,BV_Data_An_Cour!$U:$U,$B150,BV_Data_An_Cour!$V:$V,$C150,BV_Data_An_Cour!$W:$W,$L$2)</f>
        <v>0</v>
      </c>
      <c r="M150" s="223"/>
      <c r="N150" s="225">
        <f t="shared" si="25"/>
        <v>0</v>
      </c>
      <c r="O150" s="223"/>
      <c r="P150" s="178"/>
      <c r="Q150" s="180">
        <f t="array" ref="Q150">+INDEX('Réel 2024'!$A$2:$AO$501,MATCH($A150,'Réel 2024'!$A$2:$A$501,0),MATCH(Q$2,'Réel 2024'!$A$2:$AO$2,0))</f>
        <v>0</v>
      </c>
      <c r="R150" s="223"/>
      <c r="S150" s="197">
        <f>L150-Q150</f>
        <v>0</v>
      </c>
      <c r="T150" s="25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>
        <f>+INDEX('Budget original'!$A$2:$AO$501,MATCH($A151,'Budget original'!$A$2:$A$501,0),MATCH(F$2,'Budget original'!$A$2:$AO$2,0))</f>
        <v>0</v>
      </c>
      <c r="G151" s="269"/>
      <c r="H151" s="178"/>
      <c r="I151" s="179"/>
      <c r="J151" s="223"/>
      <c r="K151" s="178"/>
      <c r="L151" s="180">
        <f>SUMIFS(BV_Data_An_Cour!$O:$O,BV_Data_An_Cour!$U:$U,$B151,BV_Data_An_Cour!$V:$V,$C151,BV_Data_An_Cour!$W:$W,$L$2)</f>
        <v>0</v>
      </c>
      <c r="M151" s="223"/>
      <c r="N151" s="225">
        <f t="shared" si="25"/>
        <v>0</v>
      </c>
      <c r="O151" s="223"/>
      <c r="P151" s="178"/>
      <c r="Q151" s="180">
        <f t="array" ref="Q151">+INDEX('Réel 2024'!$A$2:$AO$501,MATCH($A151,'Réel 2024'!$A$2:$A$501,0),MATCH(Q$2,'Réel 2024'!$A$2:$AO$2,0))</f>
        <v>0</v>
      </c>
      <c r="R151" s="223"/>
      <c r="S151" s="197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>
        <f>+INDEX('Budget original'!$A$2:$AO$501,MATCH($A152,'Budget original'!$A$2:$A$501,0),MATCH(F$2,'Budget original'!$A$2:$AO$2,0))</f>
        <v>0</v>
      </c>
      <c r="G152" s="269"/>
      <c r="H152" s="178"/>
      <c r="I152" s="179"/>
      <c r="J152" s="223"/>
      <c r="K152" s="178"/>
      <c r="L152" s="180">
        <f>SUMIFS(BV_Data_An_Cour!$O:$O,BV_Data_An_Cour!$U:$U,$B152,BV_Data_An_Cour!$V:$V,$C152,BV_Data_An_Cour!$W:$W,$L$2)</f>
        <v>0</v>
      </c>
      <c r="M152" s="223"/>
      <c r="N152" s="225">
        <f t="shared" si="25"/>
        <v>0</v>
      </c>
      <c r="O152" s="223"/>
      <c r="P152" s="178"/>
      <c r="Q152" s="180">
        <f t="array" ref="Q152">+INDEX('Réel 2024'!$A$2:$AO$501,MATCH($A152,'Réel 2024'!$A$2:$A$501,0),MATCH(Q$2,'Réel 2024'!$A$2:$AO$2,0))</f>
        <v>0</v>
      </c>
      <c r="R152" s="223"/>
      <c r="S152" s="197">
        <f>L152-Q152</f>
        <v>0</v>
      </c>
      <c r="T152" s="37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19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0.10166705528773011</v>
      </c>
      <c r="F153" s="41">
        <f>+SUM(F136:F152)</f>
        <v>4356.4333190792349</v>
      </c>
      <c r="G153" s="42"/>
      <c r="H153" s="40"/>
      <c r="I153" s="41"/>
      <c r="J153" s="42" t="s">
        <v>108</v>
      </c>
      <c r="K153" s="40">
        <f>L153/L$108</f>
        <v>0.18429630404392278</v>
      </c>
      <c r="L153" s="41">
        <f>+SUM(L136:L152)</f>
        <v>4722.25</v>
      </c>
      <c r="M153" s="44"/>
      <c r="N153" s="41">
        <f t="shared" si="25"/>
        <v>365.81668092076507</v>
      </c>
      <c r="O153" s="42" t="s">
        <v>108</v>
      </c>
      <c r="P153" s="40">
        <f>Q153/Q$108</f>
        <v>0.16186326054340786</v>
      </c>
      <c r="Q153" s="41">
        <f>+SUM(Q136:Q152)</f>
        <v>6572.3799999999992</v>
      </c>
      <c r="R153" s="44"/>
      <c r="S153" s="285">
        <f>L153-Q153</f>
        <v>-1850.1299999999992</v>
      </c>
      <c r="T153" s="45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1.2617442841777307</v>
      </c>
      <c r="F155" s="41">
        <f>F122+F135+F153</f>
        <v>54065.742577015757</v>
      </c>
      <c r="G155" s="42"/>
      <c r="H155" s="40"/>
      <c r="I155" s="41"/>
      <c r="J155" s="42" t="s">
        <v>108</v>
      </c>
      <c r="K155" s="40">
        <f>L155/L$108</f>
        <v>1.217191960079834</v>
      </c>
      <c r="L155" s="41">
        <f>L122+L135+L153</f>
        <v>31188.28</v>
      </c>
      <c r="M155" s="44"/>
      <c r="N155" s="46">
        <f t="shared" ref="N155:N162" si="31">L155-F155</f>
        <v>-22877.462577015758</v>
      </c>
      <c r="O155" s="42" t="s">
        <v>108</v>
      </c>
      <c r="P155" s="40">
        <f>Q155/Q$108</f>
        <v>1.5507638065909941</v>
      </c>
      <c r="Q155" s="41">
        <f>Q122+Q135+Q153</f>
        <v>62968.02</v>
      </c>
      <c r="R155" s="44"/>
      <c r="S155" s="281">
        <f t="shared" ref="S155:S162" si="32">L155-Q155</f>
        <v>-31779.739999999998</v>
      </c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usagésRBSC used</v>
      </c>
      <c r="B156" s="24" t="s">
        <v>140</v>
      </c>
      <c r="C156" s="251" t="s">
        <v>394</v>
      </c>
      <c r="D156" s="359"/>
      <c r="E156" s="360"/>
      <c r="F156" s="179">
        <f>+INDEX('Budget original'!$A$2:$AO$501,MATCH($A156,'Budget original'!$A$2:$A$501,0),MATCH(F$2,'Budget original'!$A$2:$AO$2,0))</f>
        <v>1500</v>
      </c>
      <c r="G156" s="361"/>
      <c r="H156" s="360"/>
      <c r="I156" s="179"/>
      <c r="J156" s="361"/>
      <c r="K156" s="360"/>
      <c r="L156" s="473">
        <f>-SUMIFS(BV_Data_An_Cour!$O:$O,BV_Data_An_Cour!$U:$U,$B156,BV_Data_An_Cour!$V:$V,$C156,BV_Data_An_Cour!$W:$W,$L$2)</f>
        <v>0</v>
      </c>
      <c r="M156" s="223"/>
      <c r="N156" s="225">
        <f t="shared" si="31"/>
        <v>-1500</v>
      </c>
      <c r="O156" s="361"/>
      <c r="P156" s="360"/>
      <c r="Q156" s="180">
        <f t="array" ref="Q156">+INDEX('Réel 2024'!$A$2:$AO$501,MATCH($A156,'Réel 2024'!$A$2:$A$501,0),MATCH(Q$2,'Réel 2024'!$A$2:$AO$2,0))</f>
        <v>0</v>
      </c>
      <c r="R156" s="223"/>
      <c r="S156" s="197">
        <f t="shared" si="32"/>
        <v>0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usagésProgramme 360</v>
      </c>
      <c r="B157" s="24" t="s">
        <v>140</v>
      </c>
      <c r="C157" s="251" t="s">
        <v>395</v>
      </c>
      <c r="D157" s="359"/>
      <c r="E157" s="360"/>
      <c r="F157" s="179">
        <f>+INDEX('Budget original'!$A$2:$AO$501,MATCH($A157,'Budget original'!$A$2:$A$501,0),MATCH(F$2,'Budget original'!$A$2:$AO$2,0))</f>
        <v>536</v>
      </c>
      <c r="G157" s="361"/>
      <c r="H157" s="360"/>
      <c r="I157" s="179"/>
      <c r="J157" s="361"/>
      <c r="K157" s="360"/>
      <c r="L157" s="180">
        <f>-SUMIFS(BV_Data_An_Cour!$O:$O,BV_Data_An_Cour!$U:$U,$B157,BV_Data_An_Cour!$V:$V,$C157,BV_Data_An_Cour!$W:$W,$L$2)</f>
        <v>0</v>
      </c>
      <c r="M157" s="223"/>
      <c r="N157" s="225">
        <f t="shared" si="31"/>
        <v>-536</v>
      </c>
      <c r="O157" s="361"/>
      <c r="P157" s="360"/>
      <c r="Q157" s="180">
        <f t="array" ref="Q157">+INDEX('Réel 2024'!$A$2:$AO$501,MATCH($A157,'Réel 2024'!$A$2:$A$501,0),MATCH(Q$2,'Réel 2024'!$A$2:$AO$2,0))</f>
        <v>-1450</v>
      </c>
      <c r="R157" s="223"/>
      <c r="S157" s="197">
        <f t="shared" si="32"/>
        <v>1450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19"/>
        <v>Véhicules usagésProgramme used 3</v>
      </c>
      <c r="B158" s="24" t="s">
        <v>140</v>
      </c>
      <c r="C158" s="251" t="s">
        <v>146</v>
      </c>
      <c r="D158" s="249"/>
      <c r="E158" s="178"/>
      <c r="F158" s="179">
        <f>+INDEX('Budget original'!$A$2:$AO$501,MATCH($A158,'Budget original'!$A$2:$A$501,0),MATCH(F$2,'Budget original'!$A$2:$AO$2,0))</f>
        <v>0</v>
      </c>
      <c r="G158" s="269"/>
      <c r="H158" s="178"/>
      <c r="I158" s="179"/>
      <c r="J158" s="223"/>
      <c r="K158" s="178"/>
      <c r="L158" s="180">
        <f>-SUMIFS(BV_Data_An_Cour!$O:$O,BV_Data_An_Cour!$U:$U,$B158,BV_Data_An_Cour!$V:$V,$C158,BV_Data_An_Cour!$W:$W,$L$2)</f>
        <v>0</v>
      </c>
      <c r="M158" s="223"/>
      <c r="N158" s="225">
        <f t="shared" si="31"/>
        <v>0</v>
      </c>
      <c r="O158" s="223"/>
      <c r="P158" s="178"/>
      <c r="Q158" s="180">
        <f t="array" ref="Q158">+INDEX('Réel 2024'!$A$2:$AO$501,MATCH($A158,'Réel 2024'!$A$2:$A$501,0),MATCH(Q$2,'Réel 2024'!$A$2:$AO$2,0))</f>
        <v>0</v>
      </c>
      <c r="R158" s="223"/>
      <c r="S158" s="197">
        <f t="shared" si="32"/>
        <v>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>
        <f>+INDEX('Budget original'!$A$2:$AO$501,MATCH($A159,'Budget original'!$A$2:$A$501,0),MATCH(F$2,'Budget original'!$A$2:$AO$2,0))</f>
        <v>5926.2</v>
      </c>
      <c r="G159" s="269"/>
      <c r="H159" s="178"/>
      <c r="I159" s="179"/>
      <c r="J159" s="223"/>
      <c r="K159" s="178"/>
      <c r="L159" s="473">
        <f>-SUMIFS(BV_Data_An_Cour!$O:$O,BV_Data_An_Cour!$U:$U,$B159,BV_Data_An_Cour!$V:$V,$C159,BV_Data_An_Cour!$W:$W,$L$2)</f>
        <v>2975</v>
      </c>
      <c r="M159" s="223"/>
      <c r="N159" s="225">
        <f t="shared" si="31"/>
        <v>-2951.2</v>
      </c>
      <c r="O159" s="223"/>
      <c r="P159" s="178"/>
      <c r="Q159" s="180">
        <f t="array" ref="Q159">+INDEX('Réel 2024'!$A$2:$AO$501,MATCH($A159,'Réel 2024'!$A$2:$A$501,0),MATCH(Q$2,'Réel 2024'!$A$2:$AO$2,0))</f>
        <v>6545</v>
      </c>
      <c r="R159" s="223"/>
      <c r="S159" s="197">
        <f t="shared" si="32"/>
        <v>-3570</v>
      </c>
      <c r="T159" s="45"/>
      <c r="U159" s="25"/>
      <c r="V159" s="1275">
        <f>L159/595</f>
        <v>5</v>
      </c>
      <c r="W159" s="1127">
        <f>V159/J97</f>
        <v>1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>
        <f>+INDEX('Budget original'!$A$2:$AO$501,MATCH($A160,'Budget original'!$A$2:$A$501,0),MATCH(F$2,'Budget original'!$A$2:$AO$2,0))</f>
        <v>0</v>
      </c>
      <c r="G160" s="269"/>
      <c r="H160" s="178"/>
      <c r="I160" s="179"/>
      <c r="J160" s="223"/>
      <c r="K160" s="178"/>
      <c r="L160" s="473">
        <f>-SUMIFS(BV_Data_An_Cour!$O:$O,BV_Data_An_Cour!$U:$U,$B160,BV_Data_An_Cour!$V:$V,$C160,BV_Data_An_Cour!$W:$W,$L$2)</f>
        <v>0</v>
      </c>
      <c r="M160" s="223"/>
      <c r="N160" s="225">
        <f t="shared" si="31"/>
        <v>0</v>
      </c>
      <c r="O160" s="223"/>
      <c r="P160" s="178"/>
      <c r="Q160" s="180">
        <f t="array" ref="Q160">+INDEX('Réel 2024'!$A$2:$AO$501,MATCH($A160,'Réel 2024'!$A$2:$A$501,0),MATCH(Q$2,'Réel 2024'!$A$2:$AO$2,0))</f>
        <v>0</v>
      </c>
      <c r="R160" s="223"/>
      <c r="S160" s="197">
        <f t="shared" si="32"/>
        <v>0</v>
      </c>
      <c r="T160" s="45"/>
      <c r="U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>
        <f>+INDEX('Budget original'!$A$2:$AO$501,MATCH($A161,'Budget original'!$A$2:$A$501,0),MATCH(F$2,'Budget original'!$A$2:$AO$2,0))</f>
        <v>0</v>
      </c>
      <c r="G161" s="269"/>
      <c r="H161" s="178"/>
      <c r="I161" s="179"/>
      <c r="J161" s="223"/>
      <c r="K161" s="178"/>
      <c r="L161" s="473">
        <f>-SUMIFS(BV_Data_An_Cour!$O:$O,BV_Data_An_Cour!$U:$U,$B161,BV_Data_An_Cour!$V:$V,$C161,BV_Data_An_Cour!$W:$W,$L$2)</f>
        <v>0</v>
      </c>
      <c r="M161" s="223"/>
      <c r="N161" s="225">
        <f t="shared" si="31"/>
        <v>0</v>
      </c>
      <c r="O161" s="223"/>
      <c r="P161" s="178"/>
      <c r="Q161" s="180">
        <f t="array" ref="Q161">+INDEX('Réel 2024'!$A$2:$AO$501,MATCH($A161,'Réel 2024'!$A$2:$A$501,0),MATCH(Q$2,'Réel 2024'!$A$2:$AO$2,0))</f>
        <v>0</v>
      </c>
      <c r="R161" s="223"/>
      <c r="S161" s="197">
        <f t="shared" si="32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>
        <f>+INDEX('Budget original'!$A$2:$AO$501,MATCH($A162,'Budget original'!$A$2:$A$501,0),MATCH(F$2,'Budget original'!$A$2:$AO$2,0))</f>
        <v>0</v>
      </c>
      <c r="G162" s="269"/>
      <c r="H162" s="178"/>
      <c r="I162" s="179"/>
      <c r="J162" s="223"/>
      <c r="K162" s="178"/>
      <c r="L162" s="473">
        <f>-SUMIFS(BV_Data_An_Cour!$O:$O,BV_Data_An_Cour!$U:$U,$B162,BV_Data_An_Cour!$V:$V,$C162,BV_Data_An_Cour!$W:$W,$L$2)</f>
        <v>0</v>
      </c>
      <c r="M162" s="223"/>
      <c r="N162" s="225">
        <f t="shared" si="31"/>
        <v>0</v>
      </c>
      <c r="O162" s="223"/>
      <c r="P162" s="178"/>
      <c r="Q162" s="180">
        <f t="array" ref="Q162">+INDEX('Réel 2024'!$A$2:$AO$501,MATCH($A162,'Réel 2024'!$A$2:$A$501,0),MATCH(Q$2,'Réel 2024'!$A$2:$AO$2,0))</f>
        <v>0</v>
      </c>
      <c r="R162" s="223"/>
      <c r="S162" s="197">
        <f t="shared" si="32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7962.2</v>
      </c>
      <c r="G163" s="42"/>
      <c r="H163" s="40"/>
      <c r="I163" s="41"/>
      <c r="J163" s="42"/>
      <c r="K163" s="40"/>
      <c r="L163" s="41">
        <f>+SUM(L156:L162)</f>
        <v>2975</v>
      </c>
      <c r="M163" s="44"/>
      <c r="N163" s="41">
        <f>SUM(N156:N159)</f>
        <v>-4987.2</v>
      </c>
      <c r="O163" s="42"/>
      <c r="P163" s="40"/>
      <c r="Q163" s="41">
        <f>+SUM(Q156:Q162)</f>
        <v>5095</v>
      </c>
      <c r="R163" s="44"/>
      <c r="S163" s="285">
        <f>+SUM(S156:S162)</f>
        <v>-2120</v>
      </c>
      <c r="T163" s="45"/>
      <c r="U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-3253.5425770157572</v>
      </c>
      <c r="G165" s="307"/>
      <c r="H165" s="305"/>
      <c r="I165" s="306"/>
      <c r="J165" s="308"/>
      <c r="K165" s="309"/>
      <c r="L165" s="306">
        <f>L108-L155+L163</f>
        <v>-2590.1399999999958</v>
      </c>
      <c r="M165" s="308"/>
      <c r="N165" s="306">
        <f>L165-F165</f>
        <v>663.40257701576138</v>
      </c>
      <c r="O165" s="308"/>
      <c r="P165" s="309"/>
      <c r="Q165" s="306">
        <f>Q108-Q155+Q163</f>
        <v>-17268.500000000095</v>
      </c>
      <c r="R165" s="308"/>
      <c r="S165" s="310">
        <f>L165-Q165</f>
        <v>14678.360000000099</v>
      </c>
      <c r="T165" s="37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55"/>
      <c r="U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2025</v>
      </c>
      <c r="T168" s="19"/>
      <c r="U168" s="21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79" t="s">
        <v>77</v>
      </c>
      <c r="E170" s="1280"/>
      <c r="F170" s="1281"/>
      <c r="G170" s="1284"/>
      <c r="H170" s="1280"/>
      <c r="I170" s="1281"/>
      <c r="J170" s="1284" t="s">
        <v>78</v>
      </c>
      <c r="K170" s="1280"/>
      <c r="L170" s="1281"/>
      <c r="M170" s="1284" t="s">
        <v>2442</v>
      </c>
      <c r="N170" s="1281"/>
      <c r="O170" s="1279" t="s">
        <v>79</v>
      </c>
      <c r="P170" s="1280"/>
      <c r="Q170" s="1281"/>
      <c r="R170" s="1282" t="s">
        <v>2446</v>
      </c>
      <c r="S170" s="1283"/>
      <c r="T170" s="456"/>
      <c r="U170" s="25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3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2445</v>
      </c>
      <c r="N171" s="254" t="s">
        <v>2444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3"/>
        <v>ServiceM/O Client</v>
      </c>
      <c r="B172" s="24" t="s">
        <v>147</v>
      </c>
      <c r="C172" s="251" t="s">
        <v>151</v>
      </c>
      <c r="D172" s="1139">
        <f>+INDEX('Budget original'!$A$2:$AO$501,MATCH($A172,'Budget original'!$A$2:$A$501,0),MATCH(D$2,'Budget original'!$A$2:$AO$2,0))</f>
        <v>118.80283100870454</v>
      </c>
      <c r="E172" s="195">
        <f>+INDEX('Budget original'!$A$2:$AO$501,MATCH($A172,'Budget original'!$A$2:$A$501,0),MATCH(E$2,'Budget original'!$A$2:$AO$2,0))</f>
        <v>40392.962542959547</v>
      </c>
      <c r="F172" s="195">
        <f>+INDEX('Budget original'!$A$2:$AO$501,MATCH($A172,'Budget original'!$A$2:$A$501,0),MATCH(F$2,'Budget original'!$A$2:$AO$2,0))</f>
        <v>31668.082633680286</v>
      </c>
      <c r="G172" s="311"/>
      <c r="H172" s="195"/>
      <c r="I172" s="195"/>
      <c r="J172" s="224">
        <f>-SUMIFS(BV_Data_An_Cour!$O:$O,BV_Data_An_Cour!$U:$U,$B172,BV_Data_An_Cour!$V:$V,$C172,BV_Data_An_Cour!$W:$W,J$2)</f>
        <v>122</v>
      </c>
      <c r="K172" s="179">
        <f>-SUMIFS(BV_Data_An_Cour!$O:$O,BV_Data_An_Cour!$X:$X,"Oui",BV_Data_An_Cour!$U:$U,$B172,BV_Data_An_Cour!$V:$V,$C172)</f>
        <v>43642.539999999994</v>
      </c>
      <c r="L172" s="180">
        <f>-SUMIFS(BV_Data_An_Cour!$O:$O,BV_Data_An_Cour!$U:$U,$B172,BV_Data_An_Cour!$V:$V,$C172,BV_Data_An_Cour!$W:$W,$L$2)</f>
        <v>33796.769999999997</v>
      </c>
      <c r="M172" s="293">
        <f>(K172-E172)/E172</f>
        <v>8.0449099359433951E-2</v>
      </c>
      <c r="N172" s="225">
        <f>L172-F172</f>
        <v>2128.6873663197111</v>
      </c>
      <c r="O172" s="224">
        <f t="array" ref="O172">+INDEX('Réel 2024'!$A$2:$AO$501,MATCH($A172,'Réel 2024'!$A$2:$A$501,0),MATCH(O$2,'Réel 2024'!$A$2:$AO$2,0))</f>
        <v>97</v>
      </c>
      <c r="P172" s="179">
        <f t="array" ref="P172">+INDEX('Réel 2024'!$A$2:$AO$501,MATCH($A172,'Réel 2024'!$A$2:$A$501,0),MATCH(P$2,'Réel 2024'!$A$2:$AO$2,0))</f>
        <v>29494.33</v>
      </c>
      <c r="Q172" s="180">
        <f t="array" ref="Q172">+INDEX('Réel 2024'!$A$2:$AO$501,MATCH($A172,'Réel 2024'!$A$2:$A$501,0),MATCH(Q$2,'Réel 2024'!$A$2:$AO$2,0))</f>
        <v>23199.91</v>
      </c>
      <c r="R172" s="293">
        <f>IF(O172=0,0,J172/O172)</f>
        <v>1.2577319587628866</v>
      </c>
      <c r="S172" s="197">
        <f>L172-Q172</f>
        <v>10596.859999999997</v>
      </c>
      <c r="T172" s="37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3"/>
        <v>Service% profit / ventes</v>
      </c>
      <c r="B173" s="24" t="s">
        <v>147</v>
      </c>
      <c r="C173" s="251" t="s">
        <v>152</v>
      </c>
      <c r="D173" s="1139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0.77439970267541725</v>
      </c>
      <c r="M173" s="293"/>
      <c r="N173" s="225"/>
      <c r="O173" s="224"/>
      <c r="P173" s="178"/>
      <c r="Q173" s="227">
        <f>Q172/P172</f>
        <v>0.78658881215474286</v>
      </c>
      <c r="R173" s="224"/>
      <c r="S173" s="197"/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3"/>
        <v>Service</v>
      </c>
      <c r="B174" s="24" t="s">
        <v>147</v>
      </c>
      <c r="C174" s="294"/>
      <c r="D174" s="1140"/>
      <c r="E174" s="317">
        <f>IFERROR(E172/D172,0)</f>
        <v>340</v>
      </c>
      <c r="F174" s="318"/>
      <c r="G174" s="278"/>
      <c r="H174" s="317"/>
      <c r="I174" s="318"/>
      <c r="J174" s="302"/>
      <c r="K174" s="495">
        <f>IFERROR(K172/J172,0)</f>
        <v>357.725737704918</v>
      </c>
      <c r="L174" s="318"/>
      <c r="M174" s="320"/>
      <c r="N174" s="279"/>
      <c r="O174" s="302"/>
      <c r="P174" s="495">
        <f>IFERROR(P172/O172,0)</f>
        <v>304.06525773195881</v>
      </c>
      <c r="Q174" s="318"/>
      <c r="R174" s="302"/>
      <c r="S174" s="200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3"/>
        <v>ServiceM/O Garantie</v>
      </c>
      <c r="B175" s="24" t="s">
        <v>147</v>
      </c>
      <c r="C175" s="312" t="s">
        <v>153</v>
      </c>
      <c r="D175" s="1141">
        <f>+INDEX('Budget original'!$A$2:$AO$501,MATCH($A175,'Budget original'!$A$2:$A$501,0),MATCH(D$2,'Budget original'!$A$2:$AO$2,0))</f>
        <v>122.78761307498306</v>
      </c>
      <c r="E175" s="195">
        <f>+INDEX('Budget original'!$A$2:$AO$501,MATCH($A175,'Budget original'!$A$2:$A$501,0),MATCH(E$2,'Budget original'!$A$2:$AO$2,0))</f>
        <v>17926.991508947525</v>
      </c>
      <c r="F175" s="195">
        <f>+INDEX('Budget original'!$A$2:$AO$501,MATCH($A175,'Budget original'!$A$2:$A$501,0),MATCH(F$2,'Budget original'!$A$2:$AO$2,0))</f>
        <v>11473.274565726417</v>
      </c>
      <c r="G175" s="314"/>
      <c r="H175" s="195"/>
      <c r="I175" s="195"/>
      <c r="J175" s="314">
        <f>-SUMIFS(BV_Data_An_Cour!$O:$O,BV_Data_An_Cour!$U:$U,$B175,BV_Data_An_Cour!$V:$V,$C175,BV_Data_An_Cour!$W:$W,J$2)</f>
        <v>179</v>
      </c>
      <c r="K175" s="186">
        <f>-SUMIFS(BV_Data_An_Cour!$O:$O,BV_Data_An_Cour!$X:$X,"Oui",BV_Data_An_Cour!$U:$U,$B175,BV_Data_An_Cour!$V:$V,$C175)</f>
        <v>23967.52</v>
      </c>
      <c r="L175" s="180">
        <f>-SUMIFS(BV_Data_An_Cour!$O:$O,BV_Data_An_Cour!$U:$U,$B175,BV_Data_An_Cour!$V:$V,$C175,BV_Data_An_Cour!$W:$W,$L$2)</f>
        <v>16036.509999999998</v>
      </c>
      <c r="M175" s="293">
        <f>(K175-E175)/E175</f>
        <v>0.33695160105573724</v>
      </c>
      <c r="N175" s="274">
        <f>L175-F175</f>
        <v>4563.2354342735816</v>
      </c>
      <c r="O175" s="314">
        <f t="array" ref="O175">+INDEX('Réel 2024'!$A$2:$AO$501,MATCH($A175,'Réel 2024'!$A$2:$A$501,0),MATCH(O$2,'Réel 2024'!$A$2:$AO$2,0))</f>
        <v>143</v>
      </c>
      <c r="P175" s="186">
        <f t="array" ref="P175">+INDEX('Réel 2024'!$A$2:$AO$501,MATCH($A175,'Réel 2024'!$A$2:$A$501,0),MATCH(P$2,'Réel 2024'!$A$2:$AO$2,0))</f>
        <v>35002.620000000003</v>
      </c>
      <c r="Q175" s="180">
        <f t="array" ref="Q175">+INDEX('Réel 2024'!$A$2:$AO$501,MATCH($A175,'Réel 2024'!$A$2:$A$501,0),MATCH(Q$2,'Réel 2024'!$A$2:$AO$2,0))</f>
        <v>23761.64</v>
      </c>
      <c r="R175" s="293">
        <f>IF(O175=0,0,J175/O175)</f>
        <v>1.2517482517482517</v>
      </c>
      <c r="S175" s="197">
        <f>L175-Q175</f>
        <v>-7725.130000000001</v>
      </c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3"/>
        <v>Service% profit / ventes</v>
      </c>
      <c r="B176" s="24" t="s">
        <v>147</v>
      </c>
      <c r="C176" s="251" t="s">
        <v>152</v>
      </c>
      <c r="D176" s="1139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0.6690934230992609</v>
      </c>
      <c r="M176" s="235"/>
      <c r="N176" s="234"/>
      <c r="O176" s="223"/>
      <c r="P176" s="178"/>
      <c r="Q176" s="227">
        <f>Q175/P175</f>
        <v>0.67885318299030184</v>
      </c>
      <c r="R176" s="235"/>
      <c r="S176" s="262"/>
      <c r="T176" s="25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3"/>
        <v>Service</v>
      </c>
      <c r="B177" s="24" t="s">
        <v>147</v>
      </c>
      <c r="C177" s="294"/>
      <c r="D177" s="1140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>
        <f>IFERROR(P175/O175,0)</f>
        <v>244.77356643356646</v>
      </c>
      <c r="Q177" s="318"/>
      <c r="R177" s="324"/>
      <c r="S177" s="300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3"/>
        <v>ServiceM/O Interne</v>
      </c>
      <c r="B178" s="24" t="s">
        <v>147</v>
      </c>
      <c r="C178" s="251" t="s">
        <v>154</v>
      </c>
      <c r="D178" s="1139">
        <f>+INDEX('Budget original'!$A$2:$AO$501,MATCH($A178,'Budget original'!$A$2:$A$501,0),MATCH(D$2,'Budget original'!$A$2:$AO$2,0))</f>
        <v>119.16611645083479</v>
      </c>
      <c r="E178" s="195">
        <f>+INDEX('Budget original'!$A$2:$AO$501,MATCH($A178,'Budget original'!$A$2:$A$501,0),MATCH(E$2,'Budget original'!$A$2:$AO$2,0))</f>
        <v>28599.867948200354</v>
      </c>
      <c r="F178" s="195">
        <f>+INDEX('Budget original'!$A$2:$AO$501,MATCH($A178,'Budget original'!$A$2:$A$501,0),MATCH(F$2,'Budget original'!$A$2:$AO$2,0))</f>
        <v>19304.910865035239</v>
      </c>
      <c r="G178" s="223"/>
      <c r="H178" s="195"/>
      <c r="I178" s="195"/>
      <c r="J178" s="224">
        <f>-SUMIFS(BV_Data_An_Cour!$O:$O,BV_Data_An_Cour!$U:$U,$B178,BV_Data_An_Cour!$V:$V,$C178,BV_Data_An_Cour!$W:$W,J$2)</f>
        <v>82</v>
      </c>
      <c r="K178" s="186">
        <f>-SUMIFS(BV_Data_An_Cour!$O:$O,BV_Data_An_Cour!$X:$X,"Oui",BV_Data_An_Cour!$U:$U,$B178,BV_Data_An_Cour!$V:$V,$C178)</f>
        <v>27839.84</v>
      </c>
      <c r="L178" s="180">
        <f>-SUMIFS(BV_Data_An_Cour!$O:$O,BV_Data_An_Cour!$U:$U,$B178,BV_Data_An_Cour!$V:$V,$C178,BV_Data_An_Cour!$W:$W,$L$2)</f>
        <v>19376.63</v>
      </c>
      <c r="M178" s="293">
        <f>(K178-E178)/E178</f>
        <v>-2.6574526483020989E-2</v>
      </c>
      <c r="N178" s="225">
        <f>L178-F178</f>
        <v>71.719134964761906</v>
      </c>
      <c r="O178" s="224">
        <f t="array" ref="O178">+INDEX('Réel 2024'!$A$2:$AO$501,MATCH($A178,'Réel 2024'!$A$2:$A$501,0),MATCH(O$2,'Réel 2024'!$A$2:$AO$2,0))</f>
        <v>155</v>
      </c>
      <c r="P178" s="186">
        <f t="array" ref="P178">+INDEX('Réel 2024'!$A$2:$AO$501,MATCH($A178,'Réel 2024'!$A$2:$A$501,0),MATCH(P$2,'Réel 2024'!$A$2:$AO$2,0))</f>
        <v>43073.03</v>
      </c>
      <c r="Q178" s="180">
        <f t="array" ref="Q178">+INDEX('Réel 2024'!$A$2:$AO$501,MATCH($A178,'Réel 2024'!$A$2:$A$501,0),MATCH(Q$2,'Réel 2024'!$A$2:$AO$2,0))</f>
        <v>26387.31</v>
      </c>
      <c r="R178" s="293">
        <f>IF(O178=0,0,J178/O178)</f>
        <v>0.52903225806451615</v>
      </c>
      <c r="S178" s="197">
        <f>L178-Q178</f>
        <v>-7010.68</v>
      </c>
      <c r="T178" s="37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3"/>
        <v>Service% profit / ventes</v>
      </c>
      <c r="B179" s="24" t="s">
        <v>147</v>
      </c>
      <c r="C179" s="251" t="s">
        <v>152</v>
      </c>
      <c r="D179" s="1139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0.69600364082552202</v>
      </c>
      <c r="M179" s="293"/>
      <c r="N179" s="225">
        <f>L179-F179</f>
        <v>2.1003640825521974E-2</v>
      </c>
      <c r="O179" s="224"/>
      <c r="P179" s="226"/>
      <c r="Q179" s="227">
        <f>Q178/P178</f>
        <v>0.6126179189158506</v>
      </c>
      <c r="R179" s="224">
        <f>O179-K179</f>
        <v>0</v>
      </c>
      <c r="S179" s="197"/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3"/>
        <v>Service</v>
      </c>
      <c r="B180" s="24" t="s">
        <v>147</v>
      </c>
      <c r="C180" s="251"/>
      <c r="D180" s="1139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>
        <f>IFERROR(P178/O178,0)</f>
        <v>277.89051612903228</v>
      </c>
      <c r="Q180" s="227"/>
      <c r="R180" s="209"/>
      <c r="S180" s="197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3"/>
        <v>ServiceM/O Esthétique</v>
      </c>
      <c r="B181" s="24" t="s">
        <v>147</v>
      </c>
      <c r="C181" s="312" t="s">
        <v>155</v>
      </c>
      <c r="D181" s="1141">
        <f>+INDEX('Budget original'!$A$2:$AO$501,MATCH($A181,'Budget original'!$A$2:$A$501,0),MATCH(D$2,'Budget original'!$A$2:$AO$2,0))</f>
        <v>34.175216371203391</v>
      </c>
      <c r="E181" s="195">
        <f>+INDEX('Budget original'!$A$2:$AO$501,MATCH($A181,'Budget original'!$A$2:$A$501,0),MATCH(E$2,'Budget original'!$A$2:$AO$2,0))</f>
        <v>6835.0432742406792</v>
      </c>
      <c r="F181" s="195">
        <f>+INDEX('Budget original'!$A$2:$AO$501,MATCH($A181,'Budget original'!$A$2:$A$501,0),MATCH(F$2,'Budget original'!$A$2:$AO$2,0))</f>
        <v>2734.0173096962717</v>
      </c>
      <c r="G181" s="273"/>
      <c r="H181" s="195"/>
      <c r="I181" s="195"/>
      <c r="J181" s="314">
        <f>-SUMIFS(BV_Data_An_Cour!$O:$O,BV_Data_An_Cour!$U:$U,$B181,BV_Data_An_Cour!$V:$V,$C181,BV_Data_An_Cour!$W:$W,J$2)</f>
        <v>9</v>
      </c>
      <c r="K181" s="186">
        <f>-SUMIFS(BV_Data_An_Cour!$O:$O,BV_Data_An_Cour!$X:$X,"Oui",BV_Data_An_Cour!$U:$U,$B181,BV_Data_An_Cour!$V:$V,$C181)</f>
        <v>1950.8600000000001</v>
      </c>
      <c r="L181" s="181">
        <f>-SUMIFS(BV_Data_An_Cour!$O:$O,BV_Data_An_Cour!$U:$U,$B181,BV_Data_An_Cour!$V:$V,$C181,BV_Data_An_Cour!$W:$W,$L$2)</f>
        <v>1343.8600000000001</v>
      </c>
      <c r="M181" s="315">
        <f>IF(E181=0,0,(K181-E181)/E181)</f>
        <v>-0.71457971490067473</v>
      </c>
      <c r="N181" s="274">
        <f>L181-F181</f>
        <v>-1390.1573096962716</v>
      </c>
      <c r="O181" s="314">
        <f t="array" ref="O181">+INDEX('Réel 2024'!$A$2:$AO$501,MATCH($A181,'Réel 2024'!$A$2:$A$501,0),MATCH(O$2,'Réel 2024'!$A$2:$AO$2,0))</f>
        <v>18</v>
      </c>
      <c r="P181" s="186">
        <f t="array" ref="P181">+INDEX('Réel 2024'!$A$2:$AO$501,MATCH($A181,'Réel 2024'!$A$2:$A$501,0),MATCH(P$2,'Réel 2024'!$A$2:$AO$2,0))</f>
        <v>3523.4</v>
      </c>
      <c r="Q181" s="181">
        <f t="array" ref="Q181">+INDEX('Réel 2024'!$A$2:$AO$501,MATCH($A181,'Réel 2024'!$A$2:$A$501,0),MATCH(Q$2,'Réel 2024'!$A$2:$AO$2,0))</f>
        <v>1241.74</v>
      </c>
      <c r="R181" s="293">
        <f>IF(O181=0,0,J181/O181)</f>
        <v>0.5</v>
      </c>
      <c r="S181" s="199">
        <f>L181-Q181</f>
        <v>102.12000000000012</v>
      </c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3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/>
      <c r="L182" s="227">
        <f>IF(L181=0,0,L181/K181)</f>
        <v>0.68885517156536091</v>
      </c>
      <c r="M182" s="224">
        <f>J182-D182</f>
        <v>0</v>
      </c>
      <c r="N182" s="230"/>
      <c r="O182" s="228"/>
      <c r="P182" s="229"/>
      <c r="Q182" s="227">
        <f>IFERROR(Q181/P181,0)</f>
        <v>0.35242663336549923</v>
      </c>
      <c r="R182" s="223"/>
      <c r="S182" s="326"/>
      <c r="T182" s="45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3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>
        <f>IFERROR(P181/O181,0)</f>
        <v>195.74444444444444</v>
      </c>
      <c r="Q183" s="318"/>
      <c r="R183" s="278"/>
      <c r="S183" s="332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3"/>
        <v>ServiceAjustement M/O</v>
      </c>
      <c r="B184" s="24" t="s">
        <v>147</v>
      </c>
      <c r="C184" s="251" t="s">
        <v>156</v>
      </c>
      <c r="D184" s="178"/>
      <c r="E184" s="178"/>
      <c r="F184" s="225">
        <f>+INDEX('Budget original'!$A$2:$AO$501,MATCH($A184,'Budget original'!$A$2:$A$501,0),MATCH(F$2,'Budget original'!$A$2:$AO$2,0))</f>
        <v>-1821.2512731550603</v>
      </c>
      <c r="G184" s="223"/>
      <c r="H184" s="195"/>
      <c r="I184" s="195"/>
      <c r="J184" s="224"/>
      <c r="K184" s="195"/>
      <c r="L184" s="195">
        <f>-SUMIFS(BV_Data_An_Cour!$O:$O,BV_Data_An_Cour!$U:$U,$B184,BV_Data_An_Cour!$V:$V,$C184,BV_Data_An_Cour!$W:$W,$L$2)</f>
        <v>-3692.2200000000003</v>
      </c>
      <c r="M184" s="228"/>
      <c r="N184" s="225">
        <f>L184-F184</f>
        <v>-1870.96872684494</v>
      </c>
      <c r="O184" s="224"/>
      <c r="P184" s="195"/>
      <c r="Q184" s="195">
        <f t="array" ref="Q184">+INDEX('Réel 2024'!$A$2:$AO$501,MATCH($A184,'Réel 2024'!$A$2:$A$501,0),MATCH(Q$2,'Réel 2024'!$A$2:$AO$2,0))</f>
        <v>-2565.34</v>
      </c>
      <c r="R184" s="207"/>
      <c r="S184" s="197">
        <f>L184-Q184</f>
        <v>-1126.8800000000001</v>
      </c>
      <c r="T184" s="2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3"/>
        <v>ServiceSous-total M/O</v>
      </c>
      <c r="B185" s="24" t="s">
        <v>147</v>
      </c>
      <c r="C185" s="333" t="s">
        <v>157</v>
      </c>
      <c r="D185" s="58">
        <f>D172+D175+D178+D181+D184</f>
        <v>394.93177690572577</v>
      </c>
      <c r="E185" s="58">
        <f>E172+E175+E178+E181+E184</f>
        <v>93754.865274348107</v>
      </c>
      <c r="F185" s="59">
        <f>F172+F175+F178+F181+F184</f>
        <v>63359.034100983154</v>
      </c>
      <c r="G185" s="60"/>
      <c r="H185" s="58"/>
      <c r="I185" s="59"/>
      <c r="J185" s="60">
        <f>J172+J175+J178+J181+J184</f>
        <v>392</v>
      </c>
      <c r="K185" s="58">
        <f>K172+K175+K178+K181+K184</f>
        <v>97400.76</v>
      </c>
      <c r="L185" s="59">
        <f>L172+L175+L178+L181+L184</f>
        <v>66861.55</v>
      </c>
      <c r="M185" s="61">
        <f>(K185-E185)/E185</f>
        <v>3.8887525623157462E-2</v>
      </c>
      <c r="N185" s="59">
        <f>L185-F185</f>
        <v>3502.5158990168493</v>
      </c>
      <c r="O185" s="60">
        <f t="shared" ref="O185:Q185" si="34">O172+O175+O178+O181+O184</f>
        <v>413</v>
      </c>
      <c r="P185" s="58">
        <f t="shared" si="34"/>
        <v>111093.38</v>
      </c>
      <c r="Q185" s="59">
        <f t="shared" si="34"/>
        <v>72025.260000000009</v>
      </c>
      <c r="R185" s="334">
        <f>IF(O185=0,0,J185/O185)</f>
        <v>0.94915254237288138</v>
      </c>
      <c r="S185" s="335">
        <f>L185-Q185</f>
        <v>-5163.7100000000064</v>
      </c>
      <c r="T185" s="231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3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0.67579462586373706</v>
      </c>
      <c r="G186" s="64"/>
      <c r="H186" s="62"/>
      <c r="I186" s="234"/>
      <c r="J186" s="64"/>
      <c r="K186" s="65">
        <f>IF(J185=0,0,K185/J185)</f>
        <v>248.47132653061223</v>
      </c>
      <c r="L186" s="234">
        <f>IF(L185=0,0,L185/K185)</f>
        <v>0.68645819601407632</v>
      </c>
      <c r="M186" s="64"/>
      <c r="N186" s="63">
        <f>N185/F185</f>
        <v>5.5280449721415499E-2</v>
      </c>
      <c r="O186" s="64"/>
      <c r="P186" s="65">
        <f>IF(O185=0,0,P185/O185)</f>
        <v>268.99123486682811</v>
      </c>
      <c r="Q186" s="234">
        <f>Q185/P185</f>
        <v>0.64833080062916448</v>
      </c>
      <c r="R186" s="64"/>
      <c r="S186" s="262">
        <f>IF(R185=0,0,S185/R185)</f>
        <v>-5440.3373214285784</v>
      </c>
      <c r="T186" s="231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3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3"/>
        <v>ServiceSous-traitement</v>
      </c>
      <c r="B188" s="24" t="s">
        <v>147</v>
      </c>
      <c r="C188" s="251" t="s">
        <v>159</v>
      </c>
      <c r="D188" s="195"/>
      <c r="E188" s="195">
        <f>+INDEX('Budget original'!$A$2:$AO$501,MATCH($A188,'Budget original'!$A$2:$A$501,0),MATCH(E$2,'Budget original'!$A$2:$AO$2,0))</f>
        <v>6736.1154605737429</v>
      </c>
      <c r="F188" s="195">
        <f>+INDEX('Budget original'!$A$2:$AO$501,MATCH($A188,'Budget original'!$A$2:$A$501,0),MATCH(F$2,'Budget original'!$A$2:$AO$2,0))</f>
        <v>774.65327796598046</v>
      </c>
      <c r="G188" s="224"/>
      <c r="H188" s="195"/>
      <c r="I188" s="195"/>
      <c r="J188" s="224"/>
      <c r="K188" s="179">
        <f>-SUMIFS(BV_Data_An_Cour!$O:$O,BV_Data_An_Cour!$X:$X,"Oui",BV_Data_An_Cour!$U:$U,$B188,BV_Data_An_Cour!$V:$V,$C188)</f>
        <v>331.8</v>
      </c>
      <c r="L188" s="180">
        <f>-SUMIFS(BV_Data_An_Cour!$O:$O,BV_Data_An_Cour!$U:$U,$B188,BV_Data_An_Cour!$V:$V,$C188,BV_Data_An_Cour!$W:$W,$L$2)</f>
        <v>0</v>
      </c>
      <c r="M188" s="447">
        <f>IF(E188=0,0,(K188-E188)/E188)</f>
        <v>-0.95074312458834553</v>
      </c>
      <c r="N188" s="225">
        <f>L188-F188</f>
        <v>-774.65327796598046</v>
      </c>
      <c r="O188" s="224"/>
      <c r="P188" s="179">
        <f t="array" ref="P188">+INDEX('Réel 2024'!$A$2:$AO$501,MATCH($A188,'Réel 2024'!$A$2:$A$501,0),MATCH(P$2,'Réel 2024'!$A$2:$AO$2,0))</f>
        <v>11177.31</v>
      </c>
      <c r="Q188" s="180">
        <f t="array" ref="Q188">+INDEX('Réel 2024'!$A$2:$AO$501,MATCH($A188,'Réel 2024'!$A$2:$A$501,0),MATCH(Q$2,'Réel 2024'!$A$2:$AO$2,0))</f>
        <v>227.090000000001</v>
      </c>
      <c r="R188" s="293">
        <f>IF(O188=0,0,J188/O188)</f>
        <v>0</v>
      </c>
      <c r="S188" s="197">
        <f>L188-Q188</f>
        <v>-227.090000000001</v>
      </c>
      <c r="T188" s="231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3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</v>
      </c>
      <c r="G189" s="223"/>
      <c r="H189" s="226"/>
      <c r="I189" s="227"/>
      <c r="J189" s="228"/>
      <c r="K189" s="229"/>
      <c r="L189" s="227">
        <f>IF(L188=0,0,L188/K188)</f>
        <v>0</v>
      </c>
      <c r="M189" s="228"/>
      <c r="N189" s="230"/>
      <c r="O189" s="228"/>
      <c r="P189" s="229"/>
      <c r="Q189" s="227">
        <f>IFERROR(Q188/P188,0)</f>
        <v>2.0317053029754117E-2</v>
      </c>
      <c r="R189" s="228"/>
      <c r="S189" s="326"/>
      <c r="T189" s="231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3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3"/>
        <v>ServiceM.O. Recond. MCPA</v>
      </c>
      <c r="B191" s="24" t="s">
        <v>147</v>
      </c>
      <c r="C191" s="251" t="s">
        <v>160</v>
      </c>
      <c r="D191" s="178"/>
      <c r="E191" s="195">
        <f>+INDEX('Budget original'!$A$2:$AO$501,MATCH($A191,'Budget original'!$A$2:$A$501,0),MATCH(E$2,'Budget original'!$A$2:$AO$2,0))</f>
        <v>0</v>
      </c>
      <c r="F191" s="195">
        <f>+INDEX('Budget original'!$A$2:$AO$501,MATCH($A191,'Budget original'!$A$2:$A$501,0),MATCH(F$2,'Budget original'!$A$2:$AO$2,0))</f>
        <v>0</v>
      </c>
      <c r="G191" s="223"/>
      <c r="H191" s="195"/>
      <c r="I191" s="195"/>
      <c r="J191" s="228"/>
      <c r="K191" s="179">
        <f>-SUMIFS(BV_Data_An_Cour!$O:$O,BV_Data_An_Cour!$X:$X,"Oui",BV_Data_An_Cour!$U:$U,$B191,BV_Data_An_Cour!$V:$V,$C191)</f>
        <v>0</v>
      </c>
      <c r="L191" s="227"/>
      <c r="M191" s="228"/>
      <c r="N191" s="230"/>
      <c r="O191" s="228"/>
      <c r="P191" s="179">
        <f t="array" ref="P191">+INDEX('Réel 2024'!$A$2:$AO$501,MATCH($A191,'Réel 2024'!$A$2:$A$501,0),MATCH(P$2,'Réel 2024'!$A$2:$AO$2,0))</f>
        <v>0</v>
      </c>
      <c r="Q191" s="227">
        <f t="array" ref="Q191">+INDEX('Réel 2024'!$A$2:$AO$501,MATCH($A191,'Réel 2024'!$A$2:$A$501,0),MATCH(Q$2,'Réel 2024'!$A$2:$AO$2,0))</f>
        <v>0</v>
      </c>
      <c r="R191" s="228"/>
      <c r="S191" s="326"/>
      <c r="T191" s="231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3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3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3"/>
        <v>ServiceTotal Mécanique</v>
      </c>
      <c r="B194" s="24" t="s">
        <v>147</v>
      </c>
      <c r="C194" s="256" t="s">
        <v>161</v>
      </c>
      <c r="D194" s="26"/>
      <c r="E194" s="26">
        <f>E185+E188+E191</f>
        <v>100490.98073492185</v>
      </c>
      <c r="F194" s="28">
        <f>F185+F188+F191</f>
        <v>64133.687378949136</v>
      </c>
      <c r="G194" s="29"/>
      <c r="H194" s="26"/>
      <c r="I194" s="28"/>
      <c r="J194" s="29"/>
      <c r="K194" s="26">
        <f>K185+K188+K191</f>
        <v>97732.56</v>
      </c>
      <c r="L194" s="28">
        <f>L185+L188+L191</f>
        <v>66861.55</v>
      </c>
      <c r="M194" s="70">
        <f>L195-F195</f>
        <v>4.5924266817971349E-2</v>
      </c>
      <c r="N194" s="28">
        <f>L194-F194</f>
        <v>2727.8626210508664</v>
      </c>
      <c r="O194" s="29"/>
      <c r="P194" s="26">
        <f t="shared" ref="P194:Q194" si="35">P185+P188+P191</f>
        <v>122270.69</v>
      </c>
      <c r="Q194" s="28">
        <f t="shared" si="35"/>
        <v>72252.350000000006</v>
      </c>
      <c r="R194" s="70">
        <f>L195-Q195</f>
        <v>9.320642637761023E-2</v>
      </c>
      <c r="S194" s="321">
        <f>L194-Q194</f>
        <v>-5390.8000000000029</v>
      </c>
      <c r="T194" s="231"/>
      <c r="U194" s="25"/>
      <c r="V194" s="1275" t="s">
        <v>2358</v>
      </c>
      <c r="W194" s="1179"/>
      <c r="X194" s="1154">
        <f>L194-W194</f>
        <v>66861.55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3"/>
        <v>Service</v>
      </c>
      <c r="B195" s="24" t="s">
        <v>147</v>
      </c>
      <c r="C195" s="322"/>
      <c r="D195" s="323"/>
      <c r="E195" s="323"/>
      <c r="F195" s="34">
        <f>F194/E194</f>
        <v>0.6382034179577063</v>
      </c>
      <c r="G195" s="31"/>
      <c r="H195" s="323"/>
      <c r="I195" s="34"/>
      <c r="J195" s="31"/>
      <c r="K195" s="323"/>
      <c r="L195" s="34">
        <f>L194/K194</f>
        <v>0.68412768477567765</v>
      </c>
      <c r="M195" s="33"/>
      <c r="N195" s="34">
        <f>N194/F194</f>
        <v>4.2534005645623367E-2</v>
      </c>
      <c r="O195" s="31"/>
      <c r="P195" s="323"/>
      <c r="Q195" s="34">
        <f>Q194/P194</f>
        <v>0.59092125839806742</v>
      </c>
      <c r="R195" s="33"/>
      <c r="S195" s="259">
        <f>L194/S194</f>
        <v>-12.40289938413593</v>
      </c>
      <c r="T195" s="233"/>
      <c r="U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3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3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3"/>
        <v>ServiceSalaires cadres</v>
      </c>
      <c r="B198" s="24" t="s">
        <v>147</v>
      </c>
      <c r="C198" s="267" t="s">
        <v>109</v>
      </c>
      <c r="D198" s="178"/>
      <c r="E198" s="178"/>
      <c r="F198" s="179">
        <f>+INDEX('Budget original'!$A$2:$AO$501,MATCH($A198,'Budget original'!$A$2:$A$501,0),MATCH(F$2,'Budget original'!$A$2:$AO$2,0))</f>
        <v>10609.936678455644</v>
      </c>
      <c r="G198" s="223"/>
      <c r="H198" s="178"/>
      <c r="I198" s="179"/>
      <c r="J198" s="223"/>
      <c r="K198" s="178"/>
      <c r="L198" s="180">
        <f>SUMIFS(BV_Data_An_Cour!$O:$O,BV_Data_An_Cour!$U:$U,$B198,BV_Data_An_Cour!$V:$V,$C198,BV_Data_An_Cour!$W:$W,$L$2)</f>
        <v>12026.53</v>
      </c>
      <c r="M198" s="223"/>
      <c r="N198" s="225">
        <f t="shared" ref="N198:N229" si="36">L198-F198</f>
        <v>1416.5933215443565</v>
      </c>
      <c r="O198" s="223"/>
      <c r="P198" s="178"/>
      <c r="Q198" s="180">
        <f t="array" ref="Q198">+INDEX('Réel 2024'!$A$2:$AO$501,MATCH($A198,'Réel 2024'!$A$2:$A$501,0),MATCH(Q$2,'Réel 2024'!$A$2:$AO$2,0))</f>
        <v>10104.73</v>
      </c>
      <c r="R198" s="223"/>
      <c r="S198" s="197">
        <f t="shared" ref="S198:S228" si="37">L198-Q198</f>
        <v>1921.8000000000011</v>
      </c>
      <c r="T198" s="178"/>
      <c r="U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3"/>
        <v>ServiceSalaires commis</v>
      </c>
      <c r="B199" s="24" t="s">
        <v>147</v>
      </c>
      <c r="C199" s="268" t="s">
        <v>110</v>
      </c>
      <c r="D199" s="249"/>
      <c r="E199" s="178"/>
      <c r="F199" s="177">
        <f>+INDEX('Budget original'!$A$2:$AO$501,MATCH($A199,'Budget original'!$A$2:$A$501,0),MATCH(F$2,'Budget original'!$A$2:$AO$2,0))</f>
        <v>5720.6015325670505</v>
      </c>
      <c r="G199" s="269"/>
      <c r="H199" s="178"/>
      <c r="I199" s="177"/>
      <c r="J199" s="223"/>
      <c r="K199" s="178"/>
      <c r="L199" s="180">
        <f>SUMIFS(BV_Data_An_Cour!$O:$O,BV_Data_An_Cour!$U:$U,$B199,BV_Data_An_Cour!$V:$V,$C199,BV_Data_An_Cour!$W:$W,$L$2)</f>
        <v>2381.37</v>
      </c>
      <c r="M199" s="223"/>
      <c r="N199" s="225">
        <f t="shared" si="36"/>
        <v>-3339.2315325670506</v>
      </c>
      <c r="O199" s="223"/>
      <c r="P199" s="178"/>
      <c r="Q199" s="180">
        <f t="array" ref="Q199">+INDEX('Réel 2024'!$A$2:$AO$501,MATCH($A199,'Réel 2024'!$A$2:$A$501,0),MATCH(Q$2,'Réel 2024'!$A$2:$AO$2,0))</f>
        <v>5958.02</v>
      </c>
      <c r="R199" s="223"/>
      <c r="S199" s="197">
        <f t="shared" si="37"/>
        <v>-3576.6500000000005</v>
      </c>
      <c r="T199" s="25"/>
      <c r="U199" s="25"/>
      <c r="V199" s="1275" t="s">
        <v>3035</v>
      </c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3"/>
        <v>ServiceSalaires autres</v>
      </c>
      <c r="B200" s="24" t="s">
        <v>147</v>
      </c>
      <c r="C200" s="267" t="s">
        <v>111</v>
      </c>
      <c r="D200" s="270"/>
      <c r="E200" s="271"/>
      <c r="F200" s="179">
        <f>+INDEX('Budget original'!$A$2:$AO$501,MATCH($A200,'Budget original'!$A$2:$A$501,0),MATCH(F$2,'Budget original'!$A$2:$AO$2,0))</f>
        <v>4802.7624521072794</v>
      </c>
      <c r="G200" s="272"/>
      <c r="H200" s="271"/>
      <c r="I200" s="179"/>
      <c r="J200" s="273"/>
      <c r="K200" s="271"/>
      <c r="L200" s="181">
        <f>SUMIFS(BV_Data_An_Cour!$O:$O,BV_Data_An_Cour!$U:$U,$B200,BV_Data_An_Cour!$V:$V,$C200,BV_Data_An_Cour!$W:$W,$L$2)</f>
        <v>5793.79</v>
      </c>
      <c r="M200" s="273"/>
      <c r="N200" s="274">
        <f t="shared" si="36"/>
        <v>991.02754789272058</v>
      </c>
      <c r="O200" s="273"/>
      <c r="P200" s="271"/>
      <c r="Q200" s="181">
        <f t="array" ref="Q200">+INDEX('Réel 2024'!$A$2:$AO$501,MATCH($A200,'Réel 2024'!$A$2:$A$501,0),MATCH(Q$2,'Réel 2024'!$A$2:$AO$2,0))</f>
        <v>3642.54</v>
      </c>
      <c r="R200" s="273"/>
      <c r="S200" s="199">
        <f t="shared" si="37"/>
        <v>2151.25</v>
      </c>
      <c r="T200" s="25"/>
      <c r="U200" s="25"/>
      <c r="V200" s="1275" t="s">
        <v>3036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3"/>
        <v>ServiceSalaires spécialistes</v>
      </c>
      <c r="B201" s="24" t="s">
        <v>147</v>
      </c>
      <c r="C201" s="267" t="s">
        <v>112</v>
      </c>
      <c r="D201" s="249"/>
      <c r="E201" s="178"/>
      <c r="F201" s="179">
        <f>+INDEX('Budget original'!$A$2:$AO$501,MATCH($A201,'Budget original'!$A$2:$A$501,0),MATCH(F$2,'Budget original'!$A$2:$AO$2,0))</f>
        <v>14702.865444444444</v>
      </c>
      <c r="G201" s="269"/>
      <c r="H201" s="178"/>
      <c r="I201" s="179"/>
      <c r="J201" s="223"/>
      <c r="K201" s="178"/>
      <c r="L201" s="180">
        <f>SUMIFS(BV_Data_An_Cour!$O:$O,BV_Data_An_Cour!$U:$U,$B201,BV_Data_An_Cour!$V:$V,$C201,BV_Data_An_Cour!$W:$W,$L$2)</f>
        <v>12308.67</v>
      </c>
      <c r="M201" s="223"/>
      <c r="N201" s="225">
        <f t="shared" si="36"/>
        <v>-2394.1954444444436</v>
      </c>
      <c r="O201" s="223"/>
      <c r="P201" s="178"/>
      <c r="Q201" s="180">
        <f t="array" ref="Q201">+INDEX('Réel 2024'!$A$2:$AO$501,MATCH($A201,'Réel 2024'!$A$2:$A$501,0),MATCH(Q$2,'Réel 2024'!$A$2:$AO$2,0))</f>
        <v>16655.73</v>
      </c>
      <c r="R201" s="223"/>
      <c r="S201" s="197">
        <f t="shared" si="37"/>
        <v>-4347.0599999999995</v>
      </c>
      <c r="T201" s="25"/>
      <c r="U201" s="25"/>
      <c r="V201" s="1275" t="s">
        <v>3037</v>
      </c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3"/>
        <v>Service[...]</v>
      </c>
      <c r="B202" s="24" t="s">
        <v>147</v>
      </c>
      <c r="C202" s="251" t="s">
        <v>42</v>
      </c>
      <c r="D202" s="249"/>
      <c r="E202" s="178"/>
      <c r="F202" s="179">
        <f>+INDEX('Budget original'!$A$2:$AO$501,MATCH($A202,'Budget original'!$A$2:$A$501,0),MATCH(F$2,'Budget original'!$A$2:$AO$2,0))</f>
        <v>0</v>
      </c>
      <c r="G202" s="269"/>
      <c r="H202" s="178"/>
      <c r="I202" s="179"/>
      <c r="J202" s="223"/>
      <c r="K202" s="178"/>
      <c r="L202" s="180">
        <f>SUMIFS(BV_Data_An_Cour!$O:$O,BV_Data_An_Cour!$U:$U,$B202,BV_Data_An_Cour!$V:$V,$C202,BV_Data_An_Cour!$W:$W,$L$2)</f>
        <v>0</v>
      </c>
      <c r="M202" s="223"/>
      <c r="N202" s="225">
        <f t="shared" si="36"/>
        <v>0</v>
      </c>
      <c r="O202" s="223"/>
      <c r="P202" s="178"/>
      <c r="Q202" s="180">
        <f t="array" ref="Q202">+INDEX('Réel 2024'!$A$2:$AO$501,MATCH($A202,'Réel 2024'!$A$2:$A$501,0),MATCH(Q$2,'Réel 2024'!$A$2:$AO$2,0))</f>
        <v>0</v>
      </c>
      <c r="R202" s="223"/>
      <c r="S202" s="197">
        <f t="shared" si="37"/>
        <v>0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3"/>
        <v>Service[...]</v>
      </c>
      <c r="B203" s="24" t="s">
        <v>147</v>
      </c>
      <c r="C203" s="251" t="s">
        <v>42</v>
      </c>
      <c r="D203" s="249"/>
      <c r="E203" s="178"/>
      <c r="F203" s="179">
        <f>+INDEX('Budget original'!$A$2:$AO$501,MATCH($A203,'Budget original'!$A$2:$A$501,0),MATCH(F$2,'Budget original'!$A$2:$AO$2,0))</f>
        <v>0</v>
      </c>
      <c r="G203" s="269"/>
      <c r="H203" s="178"/>
      <c r="I203" s="179"/>
      <c r="J203" s="223"/>
      <c r="K203" s="178"/>
      <c r="L203" s="180">
        <f>SUMIFS(BV_Data_An_Cour!$O:$O,BV_Data_An_Cour!$U:$U,$B203,BV_Data_An_Cour!$V:$V,$C203,BV_Data_An_Cour!$W:$W,$L$2)</f>
        <v>0</v>
      </c>
      <c r="M203" s="223"/>
      <c r="N203" s="225">
        <f t="shared" si="36"/>
        <v>0</v>
      </c>
      <c r="O203" s="223"/>
      <c r="P203" s="178"/>
      <c r="Q203" s="180">
        <f t="array" ref="Q203">+INDEX('Réel 2024'!$A$2:$AO$501,MATCH($A203,'Réel 2024'!$A$2:$A$501,0),MATCH(Q$2,'Réel 2024'!$A$2:$AO$2,0))</f>
        <v>0</v>
      </c>
      <c r="R203" s="223"/>
      <c r="S203" s="197">
        <f t="shared" si="37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3"/>
        <v>Service[...]</v>
      </c>
      <c r="B204" s="24" t="s">
        <v>147</v>
      </c>
      <c r="C204" s="251" t="s">
        <v>42</v>
      </c>
      <c r="D204" s="249"/>
      <c r="E204" s="178"/>
      <c r="F204" s="179">
        <f>+INDEX('Budget original'!$A$2:$AO$501,MATCH($A204,'Budget original'!$A$2:$A$501,0),MATCH(F$2,'Budget original'!$A$2:$AO$2,0))</f>
        <v>0</v>
      </c>
      <c r="G204" s="269"/>
      <c r="H204" s="178"/>
      <c r="I204" s="179"/>
      <c r="J204" s="223"/>
      <c r="K204" s="178"/>
      <c r="L204" s="180">
        <f>SUMIFS(BV_Data_An_Cour!$O:$O,BV_Data_An_Cour!$U:$U,$B204,BV_Data_An_Cour!$V:$V,$C204,BV_Data_An_Cour!$W:$W,$L$2)</f>
        <v>0</v>
      </c>
      <c r="M204" s="223"/>
      <c r="N204" s="225">
        <f t="shared" si="36"/>
        <v>0</v>
      </c>
      <c r="O204" s="223"/>
      <c r="P204" s="178"/>
      <c r="Q204" s="180">
        <f t="array" ref="Q204">+INDEX('Réel 2024'!$A$2:$AO$501,MATCH($A204,'Réel 2024'!$A$2:$A$501,0),MATCH(Q$2,'Réel 2024'!$A$2:$AO$2,0))</f>
        <v>0</v>
      </c>
      <c r="R204" s="223"/>
      <c r="S204" s="197">
        <f>L204-Q204</f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3"/>
        <v>ServiceSalaires en absences</v>
      </c>
      <c r="B205" s="24" t="s">
        <v>147</v>
      </c>
      <c r="C205" s="268" t="s">
        <v>113</v>
      </c>
      <c r="D205" s="249"/>
      <c r="E205" s="178"/>
      <c r="F205" s="179">
        <f>+INDEX('Budget original'!$A$2:$AO$501,MATCH($A205,'Budget original'!$A$2:$A$501,0),MATCH(F$2,'Budget original'!$A$2:$AO$2,0))</f>
        <v>14144.046409748131</v>
      </c>
      <c r="G205" s="269"/>
      <c r="H205" s="178"/>
      <c r="I205" s="179"/>
      <c r="J205" s="223"/>
      <c r="K205" s="178"/>
      <c r="L205" s="180">
        <f>SUMIFS(BV_Data_An_Cour!$O:$O,BV_Data_An_Cour!$U:$U,$B205,BV_Data_An_Cour!$V:$V,$C205,BV_Data_An_Cour!$W:$W,$L$2)</f>
        <v>11652.52</v>
      </c>
      <c r="M205" s="223"/>
      <c r="N205" s="225">
        <f t="shared" si="36"/>
        <v>-2491.5264097481304</v>
      </c>
      <c r="O205" s="223"/>
      <c r="P205" s="178"/>
      <c r="Q205" s="180">
        <f t="array" ref="Q205">+INDEX('Réel 2024'!$A$2:$AO$501,MATCH($A205,'Réel 2024'!$A$2:$A$501,0),MATCH(Q$2,'Réel 2024'!$A$2:$AO$2,0))</f>
        <v>16030.02</v>
      </c>
      <c r="R205" s="223"/>
      <c r="S205" s="197">
        <f>L205-Q205</f>
        <v>-4377.5</v>
      </c>
      <c r="T205" s="25"/>
      <c r="U205" s="25"/>
      <c r="V205" s="1275" t="s">
        <v>3038</v>
      </c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3"/>
        <v>ServiceDéduction à la source</v>
      </c>
      <c r="B206" s="24" t="s">
        <v>147</v>
      </c>
      <c r="C206" s="267" t="s">
        <v>114</v>
      </c>
      <c r="D206" s="270"/>
      <c r="E206" s="271"/>
      <c r="F206" s="374">
        <f>+INDEX('Budget original'!$A$2:$AO$501,MATCH($A206,'Budget original'!$A$2:$A$501,0),MATCH(F$2,'Budget original'!$A$2:$AO$2,0))</f>
        <v>8486.1237531970291</v>
      </c>
      <c r="G206" s="272"/>
      <c r="H206" s="271"/>
      <c r="I206" s="374"/>
      <c r="J206" s="273"/>
      <c r="K206" s="271"/>
      <c r="L206" s="181">
        <f>SUMIFS(BV_Data_An_Cour!$O:$O,BV_Data_An_Cour!$U:$U,$B206,BV_Data_An_Cour!$V:$V,$C206,BV_Data_An_Cour!$W:$W,$L$2)</f>
        <v>11409.93</v>
      </c>
      <c r="M206" s="273"/>
      <c r="N206" s="274">
        <f t="shared" si="36"/>
        <v>2923.8062468029711</v>
      </c>
      <c r="O206" s="273"/>
      <c r="P206" s="271"/>
      <c r="Q206" s="181">
        <f t="array" ref="Q206">+INDEX('Réel 2024'!$A$2:$AO$501,MATCH($A206,'Réel 2024'!$A$2:$A$501,0),MATCH(Q$2,'Réel 2024'!$A$2:$AO$2,0))</f>
        <v>9794.82</v>
      </c>
      <c r="R206" s="273"/>
      <c r="S206" s="199">
        <f t="shared" si="37"/>
        <v>1615.1100000000006</v>
      </c>
      <c r="T206" s="25"/>
      <c r="U206" s="25"/>
      <c r="V206" s="1275" t="s">
        <v>3038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3"/>
        <v>ServiceBénéfices marginaux</v>
      </c>
      <c r="B207" s="24" t="s">
        <v>147</v>
      </c>
      <c r="C207" s="267" t="s">
        <v>115</v>
      </c>
      <c r="D207" s="249"/>
      <c r="E207" s="178"/>
      <c r="F207" s="179">
        <f>+INDEX('Budget original'!$A$2:$AO$501,MATCH($A207,'Budget original'!$A$2:$A$501,0),MATCH(F$2,'Budget original'!$A$2:$AO$2,0))</f>
        <v>5210.7777431911591</v>
      </c>
      <c r="G207" s="269"/>
      <c r="H207" s="178"/>
      <c r="I207" s="179"/>
      <c r="J207" s="223"/>
      <c r="K207" s="178"/>
      <c r="L207" s="180">
        <f>SUMIFS(BV_Data_An_Cour!$O:$O,BV_Data_An_Cour!$U:$U,$B207,BV_Data_An_Cour!$V:$V,$C207,BV_Data_An_Cour!$W:$W,$L$2)</f>
        <v>5048.84</v>
      </c>
      <c r="M207" s="223"/>
      <c r="N207" s="225">
        <f t="shared" si="36"/>
        <v>-161.93774319115892</v>
      </c>
      <c r="O207" s="223"/>
      <c r="P207" s="178"/>
      <c r="Q207" s="180">
        <f t="array" ref="Q207">+INDEX('Réel 2024'!$A$2:$AO$501,MATCH($A207,'Réel 2024'!$A$2:$A$501,0),MATCH(Q$2,'Réel 2024'!$A$2:$AO$2,0))</f>
        <v>4048.18</v>
      </c>
      <c r="R207" s="223"/>
      <c r="S207" s="197">
        <f t="shared" si="37"/>
        <v>1000.6600000000003</v>
      </c>
      <c r="T207" s="25"/>
      <c r="U207" s="25"/>
      <c r="V207" s="1275" t="s">
        <v>3038</v>
      </c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3"/>
        <v>ServiceCsst</v>
      </c>
      <c r="B208" s="24" t="s">
        <v>147</v>
      </c>
      <c r="C208" s="267" t="s">
        <v>116</v>
      </c>
      <c r="D208" s="249"/>
      <c r="E208" s="178"/>
      <c r="F208" s="179">
        <f>+INDEX('Budget original'!$A$2:$AO$501,MATCH($A208,'Budget original'!$A$2:$A$501,0),MATCH(F$2,'Budget original'!$A$2:$AO$2,0))</f>
        <v>1116.5952306838196</v>
      </c>
      <c r="G208" s="269"/>
      <c r="H208" s="178"/>
      <c r="I208" s="179"/>
      <c r="J208" s="223"/>
      <c r="K208" s="178"/>
      <c r="L208" s="180">
        <f>SUMIFS(BV_Data_An_Cour!$O:$O,BV_Data_An_Cour!$U:$U,$B208,BV_Data_An_Cour!$V:$V,$C208,BV_Data_An_Cour!$W:$W,$L$2)</f>
        <v>2414.58</v>
      </c>
      <c r="M208" s="746"/>
      <c r="N208" s="194">
        <f t="shared" si="36"/>
        <v>1297.9847693161803</v>
      </c>
      <c r="O208" s="746"/>
      <c r="P208" s="747"/>
      <c r="Q208" s="177">
        <f t="array" ref="Q208">+INDEX('Réel 2024'!$A$2:$AO$501,MATCH($A208,'Réel 2024'!$A$2:$A$501,0),MATCH(Q$2,'Réel 2024'!$A$2:$AO$2,0))</f>
        <v>1203.56</v>
      </c>
      <c r="R208" s="746"/>
      <c r="S208" s="748">
        <f t="shared" si="37"/>
        <v>1211.02</v>
      </c>
      <c r="T208" s="25"/>
      <c r="U208" s="25"/>
      <c r="V208" s="1275" t="s">
        <v>3038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3"/>
        <v>Service[...]</v>
      </c>
      <c r="B209" s="24" t="s">
        <v>147</v>
      </c>
      <c r="C209" s="251" t="s">
        <v>42</v>
      </c>
      <c r="D209" s="275"/>
      <c r="E209" s="276"/>
      <c r="F209" s="179">
        <f>+INDEX('Budget original'!$A$2:$AO$501,MATCH($A209,'Budget original'!$A$2:$A$501,0),MATCH(F$2,'Budget original'!$A$2:$AO$2,0))</f>
        <v>0</v>
      </c>
      <c r="G209" s="277"/>
      <c r="H209" s="276"/>
      <c r="I209" s="179"/>
      <c r="J209" s="278"/>
      <c r="K209" s="276"/>
      <c r="L209" s="180">
        <f>SUMIFS(BV_Data_An_Cour!$O:$O,BV_Data_An_Cour!$U:$U,$B209,BV_Data_An_Cour!$V:$V,$C209,BV_Data_An_Cour!$W:$W,$L$2)</f>
        <v>0</v>
      </c>
      <c r="M209" s="278"/>
      <c r="N209" s="279">
        <f t="shared" si="36"/>
        <v>0</v>
      </c>
      <c r="O209" s="278"/>
      <c r="P209" s="276"/>
      <c r="Q209" s="180">
        <f t="array" ref="Q209">+INDEX('Réel 2024'!$A$2:$AO$501,MATCH($A209,'Réel 2024'!$A$2:$A$501,0),MATCH(Q$2,'Réel 2024'!$A$2:$AO$2,0))</f>
        <v>0</v>
      </c>
      <c r="R209" s="278"/>
      <c r="S209" s="200">
        <f t="shared" si="37"/>
        <v>0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3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1.0102913444153854</v>
      </c>
      <c r="F210" s="41">
        <f>+SUM(F198:F209)</f>
        <v>64793.709244394558</v>
      </c>
      <c r="G210" s="42"/>
      <c r="H210" s="40"/>
      <c r="I210" s="41"/>
      <c r="J210" s="42" t="s">
        <v>162</v>
      </c>
      <c r="K210" s="40">
        <f>L210/L$194</f>
        <v>0.94278744659673619</v>
      </c>
      <c r="L210" s="41">
        <f>+SUM(L198:L209)</f>
        <v>63036.23000000001</v>
      </c>
      <c r="M210" s="43"/>
      <c r="N210" s="46">
        <f t="shared" si="36"/>
        <v>-1757.479244394548</v>
      </c>
      <c r="O210" s="42" t="s">
        <v>162</v>
      </c>
      <c r="P210" s="40">
        <f>Q210/Q$194</f>
        <v>0.93336202905511034</v>
      </c>
      <c r="Q210" s="41">
        <f>+SUM(Q198:Q209)</f>
        <v>67437.600000000006</v>
      </c>
      <c r="R210" s="43"/>
      <c r="S210" s="281">
        <f t="shared" si="37"/>
        <v>-4401.3699999999953</v>
      </c>
      <c r="T210" s="178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3"/>
        <v>ServicePublicité 2</v>
      </c>
      <c r="B211" s="24" t="s">
        <v>147</v>
      </c>
      <c r="C211" s="469" t="s">
        <v>118</v>
      </c>
      <c r="D211" s="249"/>
      <c r="E211" s="178"/>
      <c r="F211" s="179">
        <f>+INDEX('Budget original'!$A$2:$AO$501,MATCH($A211,'Budget original'!$A$2:$A$501,0),MATCH(F$2,'Budget original'!$A$2:$AO$2,0))</f>
        <v>6541.4976800521836</v>
      </c>
      <c r="G211" s="269"/>
      <c r="H211" s="178"/>
      <c r="I211" s="179"/>
      <c r="J211" s="223"/>
      <c r="K211" s="178"/>
      <c r="L211" s="180">
        <f>SUMIFS(BV_Data_An_Cour!$O:$O,BV_Data_An_Cour!$U:$U,$B211,BV_Data_An_Cour!$V:$V,$C211,BV_Data_An_Cour!$W:$W,$L$2)</f>
        <v>1382.06</v>
      </c>
      <c r="M211" s="223"/>
      <c r="N211" s="225">
        <f t="shared" si="36"/>
        <v>-5159.4376800521841</v>
      </c>
      <c r="O211" s="223"/>
      <c r="P211" s="178"/>
      <c r="Q211" s="180">
        <f t="array" ref="Q211">+INDEX('Réel 2024'!$A$2:$AO$501,MATCH($A211,'Réel 2024'!$A$2:$A$501,0),MATCH(Q$2,'Réel 2024'!$A$2:$AO$2,0))</f>
        <v>6436.33</v>
      </c>
      <c r="R211" s="223"/>
      <c r="S211" s="197">
        <f t="shared" si="37"/>
        <v>-5054.2700000000004</v>
      </c>
      <c r="T211" s="178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3"/>
        <v>ServiceService gratuit 2</v>
      </c>
      <c r="B212" s="24" t="s">
        <v>147</v>
      </c>
      <c r="C212" s="251" t="s">
        <v>119</v>
      </c>
      <c r="D212" s="249"/>
      <c r="E212" s="178"/>
      <c r="F212" s="179">
        <f>+INDEX('Budget original'!$A$2:$AO$501,MATCH($A212,'Budget original'!$A$2:$A$501,0),MATCH(F$2,'Budget original'!$A$2:$AO$2,0))</f>
        <v>2758.3333333333335</v>
      </c>
      <c r="G212" s="269"/>
      <c r="H212" s="178"/>
      <c r="I212" s="179"/>
      <c r="J212" s="223"/>
      <c r="K212" s="178"/>
      <c r="L212" s="180">
        <f>SUMIFS(BV_Data_An_Cour!$O:$O,BV_Data_An_Cour!$U:$U,$B212,BV_Data_An_Cour!$V:$V,$C212,BV_Data_An_Cour!$W:$W,$L$2)</f>
        <v>1075.23</v>
      </c>
      <c r="M212" s="223"/>
      <c r="N212" s="225">
        <f t="shared" si="36"/>
        <v>-1683.1033333333335</v>
      </c>
      <c r="O212" s="223"/>
      <c r="P212" s="178"/>
      <c r="Q212" s="180">
        <f t="array" ref="Q212">+INDEX('Réel 2024'!$A$2:$AO$501,MATCH($A212,'Réel 2024'!$A$2:$A$501,0),MATCH(Q$2,'Réel 2024'!$A$2:$AO$2,0))</f>
        <v>5596.96</v>
      </c>
      <c r="R212" s="223"/>
      <c r="S212" s="197">
        <f t="shared" si="37"/>
        <v>-4521.7299999999996</v>
      </c>
      <c r="T212" s="178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3"/>
        <v>ServiceFrais véhicules de cie</v>
      </c>
      <c r="B213" s="24" t="s">
        <v>147</v>
      </c>
      <c r="C213" s="294" t="s">
        <v>120</v>
      </c>
      <c r="D213" s="275"/>
      <c r="E213" s="276"/>
      <c r="F213" s="177">
        <f>+INDEX('Budget original'!$A$2:$AO$501,MATCH($A213,'Budget original'!$A$2:$A$501,0),MATCH(F$2,'Budget original'!$A$2:$AO$2,0))</f>
        <v>3992.8333333333335</v>
      </c>
      <c r="G213" s="277"/>
      <c r="H213" s="276"/>
      <c r="I213" s="177"/>
      <c r="J213" s="278"/>
      <c r="K213" s="276"/>
      <c r="L213" s="180">
        <f>SUMIFS(BV_Data_An_Cour!$O:$O,BV_Data_An_Cour!$U:$U,$B213,BV_Data_An_Cour!$V:$V,$C213,BV_Data_An_Cour!$W:$W,$L$2)</f>
        <v>2408.88</v>
      </c>
      <c r="M213" s="278"/>
      <c r="N213" s="279">
        <f t="shared" si="36"/>
        <v>-1583.9533333333334</v>
      </c>
      <c r="O213" s="278"/>
      <c r="P213" s="276"/>
      <c r="Q213" s="180">
        <f t="array" ref="Q213">+INDEX('Réel 2024'!$A$2:$AO$501,MATCH($A213,'Réel 2024'!$A$2:$A$501,0),MATCH(Q$2,'Réel 2024'!$A$2:$AO$2,0))</f>
        <v>7241.34</v>
      </c>
      <c r="R213" s="278"/>
      <c r="S213" s="200">
        <f t="shared" si="37"/>
        <v>-4832.46</v>
      </c>
      <c r="T213" s="178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3"/>
        <v>ServiceInformatique</v>
      </c>
      <c r="B214" s="24" t="s">
        <v>147</v>
      </c>
      <c r="C214" s="251" t="s">
        <v>121</v>
      </c>
      <c r="D214" s="249"/>
      <c r="E214" s="178"/>
      <c r="F214" s="179">
        <f>+INDEX('Budget original'!$A$2:$AO$501,MATCH($A214,'Budget original'!$A$2:$A$501,0),MATCH(F$2,'Budget original'!$A$2:$AO$2,0))</f>
        <v>6033.5</v>
      </c>
      <c r="G214" s="269"/>
      <c r="H214" s="178"/>
      <c r="I214" s="179"/>
      <c r="J214" s="223"/>
      <c r="K214" s="178"/>
      <c r="L214" s="181">
        <f>SUMIFS(BV_Data_An_Cour!$O:$O,BV_Data_An_Cour!$U:$U,$B214,BV_Data_An_Cour!$V:$V,$C214,BV_Data_An_Cour!$W:$W,$L$2)</f>
        <v>6047.78</v>
      </c>
      <c r="M214" s="223"/>
      <c r="N214" s="225">
        <f t="shared" si="36"/>
        <v>14.279999999999745</v>
      </c>
      <c r="O214" s="223"/>
      <c r="P214" s="178"/>
      <c r="Q214" s="181">
        <f t="array" ref="Q214">+INDEX('Réel 2024'!$A$2:$AO$501,MATCH($A214,'Réel 2024'!$A$2:$A$501,0),MATCH(Q$2,'Réel 2024'!$A$2:$AO$2,0))</f>
        <v>6378.31</v>
      </c>
      <c r="R214" s="223"/>
      <c r="S214" s="197">
        <f t="shared" si="37"/>
        <v>-330.53000000000065</v>
      </c>
      <c r="T214" s="178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3"/>
        <v>ServiceFrais de déplacement</v>
      </c>
      <c r="B215" s="24" t="s">
        <v>147</v>
      </c>
      <c r="C215" s="251" t="s">
        <v>122</v>
      </c>
      <c r="D215" s="249"/>
      <c r="E215" s="178"/>
      <c r="F215" s="179">
        <f>+INDEX('Budget original'!$A$2:$AO$501,MATCH($A215,'Budget original'!$A$2:$A$501,0),MATCH(F$2,'Budget original'!$A$2:$AO$2,0))</f>
        <v>458.33333333333331</v>
      </c>
      <c r="G215" s="269"/>
      <c r="H215" s="178"/>
      <c r="I215" s="179"/>
      <c r="J215" s="223"/>
      <c r="K215" s="178"/>
      <c r="L215" s="180">
        <f>SUMIFS(BV_Data_An_Cour!$O:$O,BV_Data_An_Cour!$U:$U,$B215,BV_Data_An_Cour!$V:$V,$C215,BV_Data_An_Cour!$W:$W,$L$2)</f>
        <v>249.84</v>
      </c>
      <c r="M215" s="223"/>
      <c r="N215" s="225">
        <f t="shared" si="36"/>
        <v>-208.49333333333331</v>
      </c>
      <c r="O215" s="223"/>
      <c r="P215" s="178"/>
      <c r="Q215" s="180">
        <f t="array" ref="Q215">+INDEX('Réel 2024'!$A$2:$AO$501,MATCH($A215,'Réel 2024'!$A$2:$A$501,0),MATCH(Q$2,'Réel 2024'!$A$2:$AO$2,0))</f>
        <v>-12.92</v>
      </c>
      <c r="R215" s="223"/>
      <c r="S215" s="197">
        <f t="shared" si="37"/>
        <v>262.76</v>
      </c>
      <c r="T215" s="178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3"/>
        <v>ServiceServices extérieurs</v>
      </c>
      <c r="B216" s="24" t="s">
        <v>147</v>
      </c>
      <c r="C216" s="294" t="s">
        <v>123</v>
      </c>
      <c r="D216" s="275"/>
      <c r="E216" s="276"/>
      <c r="F216" s="177">
        <f>+INDEX('Budget original'!$A$2:$AO$501,MATCH($A216,'Budget original'!$A$2:$A$501,0),MATCH(F$2,'Budget original'!$A$2:$AO$2,0))</f>
        <v>5641.5</v>
      </c>
      <c r="G216" s="277"/>
      <c r="H216" s="276"/>
      <c r="I216" s="177"/>
      <c r="J216" s="278"/>
      <c r="K216" s="276"/>
      <c r="L216" s="177">
        <f>SUMIFS(BV_Data_An_Cour!$O:$O,BV_Data_An_Cour!$U:$U,$B216,BV_Data_An_Cour!$V:$V,$C216,BV_Data_An_Cour!$W:$W,$L$2)</f>
        <v>6111.57</v>
      </c>
      <c r="M216" s="746"/>
      <c r="N216" s="194">
        <f t="shared" si="36"/>
        <v>470.06999999999971</v>
      </c>
      <c r="O216" s="746"/>
      <c r="P216" s="747"/>
      <c r="Q216" s="177">
        <f t="array" ref="Q216">+INDEX('Réel 2024'!$A$2:$AO$501,MATCH($A216,'Réel 2024'!$A$2:$A$501,0),MATCH(Q$2,'Réel 2024'!$A$2:$AO$2,0))</f>
        <v>4419.82</v>
      </c>
      <c r="R216" s="278"/>
      <c r="S216" s="200">
        <f t="shared" si="37"/>
        <v>1691.75</v>
      </c>
      <c r="T216" s="178"/>
      <c r="U216" s="25"/>
      <c r="V216" s="1275" t="s">
        <v>2971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/>
      <c r="G217" s="269"/>
      <c r="H217" s="178"/>
      <c r="I217" s="179"/>
      <c r="J217" s="223"/>
      <c r="K217" s="178"/>
      <c r="L217" s="180">
        <f>SUMIFS(BV_Data_An_Cour!$O:$O,BV_Data_An_Cour!$U:$U,$B217,BV_Data_An_Cour!$V:$V,$C217,BV_Data_An_Cour!$W:$W,$L$2)</f>
        <v>0</v>
      </c>
      <c r="M217" s="223"/>
      <c r="N217" s="225">
        <f t="shared" si="36"/>
        <v>0</v>
      </c>
      <c r="O217" s="223"/>
      <c r="P217" s="178"/>
      <c r="Q217" s="180">
        <f t="array" ref="Q217">+INDEX('Réel 2024'!$A$2:$AO$501,MATCH($A217,'Réel 2024'!$A$2:$A$501,0),MATCH(Q$2,'Réel 2024'!$A$2:$AO$2,0))</f>
        <v>0</v>
      </c>
      <c r="R217" s="223"/>
      <c r="S217" s="197">
        <f>L217-Q217</f>
        <v>0</v>
      </c>
      <c r="T217" s="25"/>
      <c r="U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3"/>
        <v>ServiceFournitures autres</v>
      </c>
      <c r="B218" s="24" t="s">
        <v>147</v>
      </c>
      <c r="C218" s="251" t="s">
        <v>124</v>
      </c>
      <c r="D218" s="249"/>
      <c r="E218" s="178"/>
      <c r="F218" s="179">
        <f>+INDEX('Budget original'!$A$2:$AO$501,MATCH($A218,'Budget original'!$A$2:$A$501,0),MATCH(F$2,'Budget original'!$A$2:$AO$2,0))</f>
        <v>1100</v>
      </c>
      <c r="G218" s="269"/>
      <c r="H218" s="178"/>
      <c r="I218" s="179"/>
      <c r="J218" s="223"/>
      <c r="K218" s="178"/>
      <c r="L218" s="180">
        <f>SUMIFS(BV_Data_An_Cour!$O:$O,BV_Data_An_Cour!$U:$U,$B218,BV_Data_An_Cour!$V:$V,$C218,BV_Data_An_Cour!$W:$W,$L$2)</f>
        <v>1736.99</v>
      </c>
      <c r="M218" s="223"/>
      <c r="N218" s="225">
        <f t="shared" si="36"/>
        <v>636.99</v>
      </c>
      <c r="O218" s="223"/>
      <c r="P218" s="178"/>
      <c r="Q218" s="180">
        <f t="array" ref="Q218">+INDEX('Réel 2024'!$A$2:$AO$501,MATCH($A218,'Réel 2024'!$A$2:$A$501,0),MATCH(Q$2,'Réel 2024'!$A$2:$AO$2,0))</f>
        <v>3082.06</v>
      </c>
      <c r="R218" s="223"/>
      <c r="S218" s="197">
        <f t="shared" si="37"/>
        <v>-1345.07</v>
      </c>
      <c r="T218" s="178"/>
      <c r="U218" s="25"/>
      <c r="V218" s="1275" t="s">
        <v>2972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3"/>
        <v>ServiceUniformes</v>
      </c>
      <c r="B219" s="24" t="s">
        <v>147</v>
      </c>
      <c r="C219" s="251" t="s">
        <v>125</v>
      </c>
      <c r="D219" s="249"/>
      <c r="E219" s="178"/>
      <c r="F219" s="179">
        <f>+INDEX('Budget original'!$A$2:$AO$501,MATCH($A219,'Budget original'!$A$2:$A$501,0),MATCH(F$2,'Budget original'!$A$2:$AO$2,0))</f>
        <v>1000</v>
      </c>
      <c r="G219" s="269"/>
      <c r="H219" s="178"/>
      <c r="I219" s="179"/>
      <c r="J219" s="223"/>
      <c r="K219" s="178"/>
      <c r="L219" s="180">
        <f>SUMIFS(BV_Data_An_Cour!$O:$O,BV_Data_An_Cour!$U:$U,$B219,BV_Data_An_Cour!$V:$V,$C219,BV_Data_An_Cour!$W:$W,$L$2)</f>
        <v>684.54</v>
      </c>
      <c r="M219" s="223"/>
      <c r="N219" s="225">
        <f t="shared" si="36"/>
        <v>-315.46000000000004</v>
      </c>
      <c r="O219" s="223"/>
      <c r="P219" s="178"/>
      <c r="Q219" s="180">
        <f t="array" ref="Q219">+INDEX('Réel 2024'!$A$2:$AO$501,MATCH($A219,'Réel 2024'!$A$2:$A$501,0),MATCH(Q$2,'Réel 2024'!$A$2:$AO$2,0))</f>
        <v>1242.2</v>
      </c>
      <c r="R219" s="223"/>
      <c r="S219" s="197">
        <f t="shared" si="37"/>
        <v>-557.66000000000008</v>
      </c>
      <c r="T219" s="178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3"/>
        <v>ServicePapeterie</v>
      </c>
      <c r="B220" s="24" t="s">
        <v>147</v>
      </c>
      <c r="C220" s="251" t="s">
        <v>126</v>
      </c>
      <c r="D220" s="249"/>
      <c r="E220" s="178"/>
      <c r="F220" s="179">
        <f>+INDEX('Budget original'!$A$2:$AO$501,MATCH($A220,'Budget original'!$A$2:$A$501,0),MATCH(F$2,'Budget original'!$A$2:$AO$2,0))</f>
        <v>393.75</v>
      </c>
      <c r="G220" s="269"/>
      <c r="H220" s="178"/>
      <c r="I220" s="179"/>
      <c r="J220" s="223"/>
      <c r="K220" s="178"/>
      <c r="L220" s="473">
        <f>SUMIFS(BV_Data_An_Cour!$O:$O,BV_Data_An_Cour!$U:$U,$B220,BV_Data_An_Cour!$V:$V,$C220,BV_Data_An_Cour!$W:$W,$L$2)</f>
        <v>159.55000000000001</v>
      </c>
      <c r="M220" s="223"/>
      <c r="N220" s="225">
        <f t="shared" si="36"/>
        <v>-234.2</v>
      </c>
      <c r="O220" s="223"/>
      <c r="P220" s="178"/>
      <c r="Q220" s="473">
        <f t="array" ref="Q220">+INDEX('Réel 2024'!$A$2:$AO$501,MATCH($A220,'Réel 2024'!$A$2:$A$501,0),MATCH(Q$2,'Réel 2024'!$A$2:$AO$2,0))</f>
        <v>241.67</v>
      </c>
      <c r="R220" s="223"/>
      <c r="S220" s="197">
        <f t="shared" si="37"/>
        <v>-82.119999999999976</v>
      </c>
      <c r="T220" s="25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3"/>
        <v>ServiceTéléphone</v>
      </c>
      <c r="B221" s="24" t="s">
        <v>147</v>
      </c>
      <c r="C221" s="251" t="s">
        <v>127</v>
      </c>
      <c r="D221" s="249"/>
      <c r="E221" s="178"/>
      <c r="F221" s="179">
        <f>+INDEX('Budget original'!$A$2:$AO$501,MATCH($A221,'Budget original'!$A$2:$A$501,0),MATCH(F$2,'Budget original'!$A$2:$AO$2,0))</f>
        <v>120</v>
      </c>
      <c r="G221" s="269"/>
      <c r="H221" s="178"/>
      <c r="I221" s="179"/>
      <c r="J221" s="223"/>
      <c r="K221" s="178"/>
      <c r="L221" s="180">
        <f>SUMIFS(BV_Data_An_Cour!$O:$O,BV_Data_An_Cour!$U:$U,$B221,BV_Data_An_Cour!$V:$V,$C221,BV_Data_An_Cour!$W:$W,$L$2)</f>
        <v>199.65</v>
      </c>
      <c r="M221" s="223"/>
      <c r="N221" s="225">
        <f t="shared" si="36"/>
        <v>79.650000000000006</v>
      </c>
      <c r="O221" s="223"/>
      <c r="P221" s="178"/>
      <c r="Q221" s="180">
        <f t="array" ref="Q221">+INDEX('Réel 2024'!$A$2:$AO$501,MATCH($A221,'Réel 2024'!$A$2:$A$501,0),MATCH(Q$2,'Réel 2024'!$A$2:$AO$2,0))</f>
        <v>110.2</v>
      </c>
      <c r="R221" s="223"/>
      <c r="S221" s="197">
        <f t="shared" si="37"/>
        <v>89.45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3"/>
        <v>ServiceFrais postaux</v>
      </c>
      <c r="B222" s="24" t="s">
        <v>147</v>
      </c>
      <c r="C222" s="251" t="s">
        <v>128</v>
      </c>
      <c r="D222" s="249"/>
      <c r="E222" s="178"/>
      <c r="F222" s="179">
        <f>+INDEX('Budget original'!$A$2:$AO$501,MATCH($A222,'Budget original'!$A$2:$A$501,0),MATCH(F$2,'Budget original'!$A$2:$AO$2,0))</f>
        <v>112.5</v>
      </c>
      <c r="G222" s="269"/>
      <c r="H222" s="178"/>
      <c r="I222" s="179"/>
      <c r="J222" s="223"/>
      <c r="K222" s="178"/>
      <c r="L222" s="180">
        <f>SUMIFS(BV_Data_An_Cour!$O:$O,BV_Data_An_Cour!$U:$U,$B222,BV_Data_An_Cour!$V:$V,$C222,BV_Data_An_Cour!$W:$W,$L$2)</f>
        <v>113.74</v>
      </c>
      <c r="M222" s="223"/>
      <c r="N222" s="225">
        <f t="shared" si="36"/>
        <v>1.2399999999999949</v>
      </c>
      <c r="O222" s="223"/>
      <c r="P222" s="178"/>
      <c r="Q222" s="180">
        <f t="array" ref="Q222">+INDEX('Réel 2024'!$A$2:$AO$501,MATCH($A222,'Réel 2024'!$A$2:$A$501,0),MATCH(Q$2,'Réel 2024'!$A$2:$AO$2,0))</f>
        <v>130.30000000000001</v>
      </c>
      <c r="R222" s="223"/>
      <c r="S222" s="197">
        <f t="shared" si="37"/>
        <v>-16.560000000000016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3"/>
        <v>ServiceDivers</v>
      </c>
      <c r="B223" s="24" t="s">
        <v>147</v>
      </c>
      <c r="C223" s="251" t="s">
        <v>129</v>
      </c>
      <c r="D223" s="249"/>
      <c r="E223" s="178"/>
      <c r="F223" s="179">
        <f>+INDEX('Budget original'!$A$2:$AO$501,MATCH($A223,'Budget original'!$A$2:$A$501,0),MATCH(F$2,'Budget original'!$A$2:$AO$2,0))</f>
        <v>435.25</v>
      </c>
      <c r="G223" s="269"/>
      <c r="H223" s="178"/>
      <c r="I223" s="179"/>
      <c r="J223" s="223"/>
      <c r="K223" s="178"/>
      <c r="L223" s="180">
        <f>SUMIFS(BV_Data_An_Cour!$O:$O,BV_Data_An_Cour!$U:$U,$B223,BV_Data_An_Cour!$V:$V,$C223,BV_Data_An_Cour!$W:$W,$L$2)</f>
        <v>0</v>
      </c>
      <c r="M223" s="223"/>
      <c r="N223" s="225">
        <f t="shared" si="36"/>
        <v>-435.25</v>
      </c>
      <c r="O223" s="223"/>
      <c r="P223" s="178"/>
      <c r="Q223" s="180">
        <f t="array" ref="Q223">+INDEX('Réel 2024'!$A$2:$AO$501,MATCH($A223,'Réel 2024'!$A$2:$A$501,0),MATCH(Q$2,'Réel 2024'!$A$2:$AO$2,0))</f>
        <v>561.94000000000005</v>
      </c>
      <c r="R223" s="223"/>
      <c r="S223" s="197">
        <f t="shared" si="37"/>
        <v>-561.94000000000005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3"/>
        <v>ServiceFormation</v>
      </c>
      <c r="B224" s="24" t="s">
        <v>147</v>
      </c>
      <c r="C224" s="251" t="s">
        <v>130</v>
      </c>
      <c r="D224" s="249"/>
      <c r="E224" s="178"/>
      <c r="F224" s="179">
        <f>+INDEX('Budget original'!$A$2:$AO$501,MATCH($A224,'Budget original'!$A$2:$A$501,0),MATCH(F$2,'Budget original'!$A$2:$AO$2,0))</f>
        <v>1643.7152833333334</v>
      </c>
      <c r="G224" s="269"/>
      <c r="H224" s="178"/>
      <c r="I224" s="179"/>
      <c r="J224" s="223"/>
      <c r="K224" s="178"/>
      <c r="L224" s="180">
        <f>SUMIFS(BV_Data_An_Cour!$O:$O,BV_Data_An_Cour!$U:$U,$B224,BV_Data_An_Cour!$V:$V,$C224,BV_Data_An_Cour!$W:$W,$L$2)</f>
        <v>874.18</v>
      </c>
      <c r="M224" s="223"/>
      <c r="N224" s="225">
        <f t="shared" si="36"/>
        <v>-769.5352833333335</v>
      </c>
      <c r="O224" s="223"/>
      <c r="P224" s="178"/>
      <c r="Q224" s="180">
        <f t="array" ref="Q224">+INDEX('Réel 2024'!$A$2:$AO$501,MATCH($A224,'Réel 2024'!$A$2:$A$501,0),MATCH(Q$2,'Réel 2024'!$A$2:$AO$2,0))</f>
        <v>-301.52</v>
      </c>
      <c r="R224" s="223"/>
      <c r="S224" s="197">
        <f t="shared" si="37"/>
        <v>1175.6999999999998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3"/>
        <v>ServiceFrais bancaires</v>
      </c>
      <c r="B225" s="24" t="s">
        <v>147</v>
      </c>
      <c r="C225" s="251" t="s">
        <v>131</v>
      </c>
      <c r="D225" s="249"/>
      <c r="E225" s="178"/>
      <c r="F225" s="179">
        <f>+INDEX('Budget original'!$A$2:$AO$501,MATCH($A225,'Budget original'!$A$2:$A$501,0),MATCH(F$2,'Budget original'!$A$2:$AO$2,0))</f>
        <v>1190.3146810314208</v>
      </c>
      <c r="G225" s="269"/>
      <c r="H225" s="178"/>
      <c r="I225" s="179"/>
      <c r="J225" s="223"/>
      <c r="K225" s="178"/>
      <c r="L225" s="180">
        <f>SUMIFS(BV_Data_An_Cour!$O:$O,BV_Data_An_Cour!$U:$U,$B225,BV_Data_An_Cour!$V:$V,$C225,BV_Data_An_Cour!$W:$W,$L$2)</f>
        <v>1278.81</v>
      </c>
      <c r="M225" s="223"/>
      <c r="N225" s="225">
        <f t="shared" si="36"/>
        <v>88.495318968579113</v>
      </c>
      <c r="O225" s="223"/>
      <c r="P225" s="178"/>
      <c r="Q225" s="180">
        <f t="array" ref="Q225">+INDEX('Réel 2024'!$A$2:$AO$501,MATCH($A225,'Réel 2024'!$A$2:$A$501,0),MATCH(Q$2,'Réel 2024'!$A$2:$AO$2,0))</f>
        <v>1415.82</v>
      </c>
      <c r="R225" s="223"/>
      <c r="S225" s="197">
        <f t="shared" si="37"/>
        <v>-137.01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3"/>
        <v>Service[...]</v>
      </c>
      <c r="B226" s="24" t="s">
        <v>147</v>
      </c>
      <c r="C226" s="251" t="s">
        <v>42</v>
      </c>
      <c r="D226" s="249"/>
      <c r="E226" s="178"/>
      <c r="F226" s="179">
        <f>+INDEX('Budget original'!$A$2:$AO$501,MATCH($A226,'Budget original'!$A$2:$A$501,0),MATCH(F$2,'Budget original'!$A$2:$AO$2,0))</f>
        <v>0</v>
      </c>
      <c r="G226" s="269"/>
      <c r="H226" s="178"/>
      <c r="I226" s="179"/>
      <c r="J226" s="223"/>
      <c r="K226" s="178"/>
      <c r="L226" s="180">
        <f>SUMIFS(BV_Data_An_Cour!$O:$O,BV_Data_An_Cour!$U:$U,$B226,BV_Data_An_Cour!$V:$V,$C226,BV_Data_An_Cour!$W:$W,$L$2)</f>
        <v>0</v>
      </c>
      <c r="M226" s="223"/>
      <c r="N226" s="225">
        <f t="shared" si="36"/>
        <v>0</v>
      </c>
      <c r="O226" s="223"/>
      <c r="P226" s="178"/>
      <c r="Q226" s="180">
        <f t="array" ref="Q226">+INDEX('Réel 2024'!$A$2:$AO$501,MATCH($A226,'Réel 2024'!$A$2:$A$501,0),MATCH(Q$2,'Réel 2024'!$A$2:$AO$2,0))</f>
        <v>0</v>
      </c>
      <c r="R226" s="223"/>
      <c r="S226" s="197">
        <f t="shared" si="37"/>
        <v>0</v>
      </c>
      <c r="T226" s="178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>
        <f>+INDEX('Budget original'!$A$2:$AO$501,MATCH($A227,'Budget original'!$A$2:$A$501,0),MATCH(F$2,'Budget original'!$A$2:$AO$2,0))</f>
        <v>0</v>
      </c>
      <c r="G227" s="269"/>
      <c r="H227" s="178"/>
      <c r="I227" s="179"/>
      <c r="J227" s="223"/>
      <c r="K227" s="178"/>
      <c r="L227" s="180">
        <f>SUMIFS(BV_Data_An_Cour!$O:$O,BV_Data_An_Cour!$U:$U,$B227,BV_Data_An_Cour!$V:$V,$C227,BV_Data_An_Cour!$W:$W,$L$2)</f>
        <v>0</v>
      </c>
      <c r="M227" s="223"/>
      <c r="N227" s="225">
        <f t="shared" si="36"/>
        <v>0</v>
      </c>
      <c r="O227" s="223"/>
      <c r="P227" s="178"/>
      <c r="Q227" s="180">
        <f t="array" ref="Q227">+INDEX('Réel 2024'!$A$2:$AO$501,MATCH($A227,'Réel 2024'!$A$2:$A$501,0),MATCH(Q$2,'Réel 2024'!$A$2:$AO$2,0))</f>
        <v>0</v>
      </c>
      <c r="R227" s="223"/>
      <c r="S227" s="197">
        <f>L227-Q227</f>
        <v>0</v>
      </c>
      <c r="T227" s="178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3"/>
        <v>Service[...]</v>
      </c>
      <c r="B228" s="24" t="s">
        <v>147</v>
      </c>
      <c r="C228" s="251" t="s">
        <v>42</v>
      </c>
      <c r="D228" s="249"/>
      <c r="E228" s="178"/>
      <c r="F228" s="179">
        <f>+INDEX('Budget original'!$A$2:$AO$501,MATCH($A228,'Budget original'!$A$2:$A$501,0),MATCH(F$2,'Budget original'!$A$2:$AO$2,0))</f>
        <v>0</v>
      </c>
      <c r="G228" s="269"/>
      <c r="H228" s="178"/>
      <c r="I228" s="179"/>
      <c r="J228" s="223"/>
      <c r="K228" s="178"/>
      <c r="L228" s="180">
        <f>SUMIFS(BV_Data_An_Cour!$O:$O,BV_Data_An_Cour!$U:$U,$B228,BV_Data_An_Cour!$V:$V,$C228,BV_Data_An_Cour!$W:$W,$L$2)</f>
        <v>0</v>
      </c>
      <c r="M228" s="223"/>
      <c r="N228" s="225">
        <f t="shared" si="36"/>
        <v>0</v>
      </c>
      <c r="O228" s="223"/>
      <c r="P228" s="178"/>
      <c r="Q228" s="180">
        <f t="array" ref="Q228">+INDEX('Réel 2024'!$A$2:$AO$501,MATCH($A228,'Réel 2024'!$A$2:$A$501,0),MATCH(Q$2,'Réel 2024'!$A$2:$AO$2,0))</f>
        <v>0</v>
      </c>
      <c r="R228" s="223"/>
      <c r="S228" s="197">
        <f t="shared" si="37"/>
        <v>0</v>
      </c>
      <c r="T228" s="178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0.48993795505247306</v>
      </c>
      <c r="F229" s="41">
        <f>+SUM(F211:F228)</f>
        <v>31421.527644416939</v>
      </c>
      <c r="G229" s="42"/>
      <c r="H229" s="40"/>
      <c r="I229" s="41"/>
      <c r="J229" s="42" t="s">
        <v>162</v>
      </c>
      <c r="K229" s="40">
        <f>L229/L$194</f>
        <v>0.33386632526467014</v>
      </c>
      <c r="L229" s="41">
        <f>+SUM(L211:L228)</f>
        <v>22322.820000000007</v>
      </c>
      <c r="M229" s="44"/>
      <c r="N229" s="41">
        <f t="shared" si="36"/>
        <v>-9098.7076444169325</v>
      </c>
      <c r="O229" s="42" t="s">
        <v>162</v>
      </c>
      <c r="P229" s="40">
        <f>Q229/Q$194</f>
        <v>0.50576223472316129</v>
      </c>
      <c r="Q229" s="41">
        <f>+SUM(Q211:Q228)</f>
        <v>36542.51</v>
      </c>
      <c r="R229" s="44"/>
      <c r="S229" s="285">
        <f>L229-Q229</f>
        <v>-14219.689999999995</v>
      </c>
      <c r="T229" s="178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1.5002292994678585</v>
      </c>
      <c r="F231" s="41">
        <f>F210+F229</f>
        <v>96215.236888811502</v>
      </c>
      <c r="G231" s="42"/>
      <c r="H231" s="40"/>
      <c r="I231" s="41"/>
      <c r="J231" s="42" t="s">
        <v>108</v>
      </c>
      <c r="K231" s="40">
        <f>L231/L$194</f>
        <v>1.2766537718614064</v>
      </c>
      <c r="L231" s="41">
        <f>L210+L229</f>
        <v>85359.050000000017</v>
      </c>
      <c r="M231" s="44"/>
      <c r="N231" s="46">
        <f>L231-F231</f>
        <v>-10856.186888811484</v>
      </c>
      <c r="O231" s="42" t="s">
        <v>108</v>
      </c>
      <c r="P231" s="40">
        <f>Q231/Q$194</f>
        <v>1.4391242637782717</v>
      </c>
      <c r="Q231" s="41">
        <f>Q210+Q229</f>
        <v>103980.11000000002</v>
      </c>
      <c r="R231" s="44"/>
      <c r="S231" s="281">
        <f>L231-Q231</f>
        <v>-18621.059999999998</v>
      </c>
      <c r="T231" s="178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-32081.549509862365</v>
      </c>
      <c r="G233" s="307"/>
      <c r="H233" s="305"/>
      <c r="I233" s="306"/>
      <c r="J233" s="308"/>
      <c r="K233" s="309"/>
      <c r="L233" s="306">
        <f>L194-L231</f>
        <v>-18497.500000000015</v>
      </c>
      <c r="M233" s="308"/>
      <c r="N233" s="306">
        <f>L233-F233</f>
        <v>13584.049509862351</v>
      </c>
      <c r="O233" s="308"/>
      <c r="P233" s="309"/>
      <c r="Q233" s="306">
        <f>Q194-Q231</f>
        <v>-31727.760000000009</v>
      </c>
      <c r="R233" s="308"/>
      <c r="S233" s="310">
        <f>L233-Q233</f>
        <v>13230.259999999995</v>
      </c>
      <c r="T233" s="178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2025</v>
      </c>
      <c r="T236" s="458"/>
      <c r="U236" s="451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279" t="s">
        <v>77</v>
      </c>
      <c r="E238" s="1280"/>
      <c r="F238" s="1281"/>
      <c r="G238" s="1284"/>
      <c r="H238" s="1280"/>
      <c r="I238" s="1281"/>
      <c r="J238" s="1284" t="s">
        <v>78</v>
      </c>
      <c r="K238" s="1280"/>
      <c r="L238" s="1281"/>
      <c r="M238" s="1284" t="s">
        <v>2442</v>
      </c>
      <c r="N238" s="1281"/>
      <c r="O238" s="1279" t="s">
        <v>79</v>
      </c>
      <c r="P238" s="1280"/>
      <c r="Q238" s="1281"/>
      <c r="R238" s="1282" t="s">
        <v>2446</v>
      </c>
      <c r="S238" s="1283"/>
      <c r="T238" s="359"/>
      <c r="U238" s="178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38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2444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38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38"/>
        <v>CarrosserieM/O Sous-traitement</v>
      </c>
      <c r="B241" s="24" t="s">
        <v>163</v>
      </c>
      <c r="C241" s="469" t="s">
        <v>164</v>
      </c>
      <c r="D241" s="253">
        <f>+INDEX('Budget original'!$A$2:$AO$501,MATCH($A241,'Budget original'!$A$2:$A$501,0),MATCH(D$2,'Budget original'!$A$2:$AO$2,0))</f>
        <v>0</v>
      </c>
      <c r="E241" s="195">
        <f>+INDEX('Budget original'!$A$2:$AO$501,MATCH($A241,'Budget original'!$A$2:$A$501,0),MATCH(E$2,'Budget original'!$A$2:$AO$2,0))</f>
        <v>0</v>
      </c>
      <c r="F241" s="195">
        <f>+INDEX('Budget original'!$A$2:$AO$501,MATCH($A241,'Budget original'!$A$2:$A$501,0),MATCH(F$2,'Budget original'!$A$2:$AO$2,0))</f>
        <v>0</v>
      </c>
      <c r="G241" s="311"/>
      <c r="H241" s="195"/>
      <c r="I241" s="195"/>
      <c r="J241" s="224">
        <f>-SUMIFS(BV_Data_An_Cour!$O:$O,BV_Data_An_Cour!$U:$U,$B241,BV_Data_An_Cour!$V:$V,$C241,BV_Data_An_Cour!$W:$W,J$2)</f>
        <v>0</v>
      </c>
      <c r="K241" s="179">
        <f>-SUMIFS(BV_Data_An_Cour!$O:$O,BV_Data_An_Cour!$X:$X,"Oui",BV_Data_An_Cour!$U:$U,$B241,BV_Data_An_Cour!$V:$V,$C241)</f>
        <v>0</v>
      </c>
      <c r="L241" s="180">
        <f>-SUMIFS(BV_Data_An_Cour!$O:$O,BV_Data_An_Cour!$U:$U,$B241,BV_Data_An_Cour!$V:$V,$C241,BV_Data_An_Cour!$W:$W,$L$2)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>
        <f t="array" ref="O241">+INDEX('Réel 2024'!$A$2:$AO$501,MATCH($A241,'Réel 2024'!$A$2:$A$501,0),MATCH(O$2,'Réel 2024'!$A$2:$AO$2,0))</f>
        <v>3</v>
      </c>
      <c r="P241" s="179">
        <f t="array" ref="P241">+INDEX('Réel 2024'!$A$2:$AO$501,MATCH($A241,'Réel 2024'!$A$2:$A$501,0),MATCH(P$2,'Réel 2024'!$A$2:$AO$2,0))</f>
        <v>1175.1099999999999</v>
      </c>
      <c r="Q241" s="180">
        <f t="array" ref="Q241">+INDEX('Réel 2024'!$A$2:$AO$501,MATCH($A241,'Réel 2024'!$A$2:$A$501,0),MATCH(Q$2,'Réel 2024'!$A$2:$AO$2,0))</f>
        <v>101.69999999999899</v>
      </c>
      <c r="R241" s="293">
        <f>IF(O241=0,0,J241/O241)</f>
        <v>0</v>
      </c>
      <c r="S241" s="197">
        <f>L241-Q241</f>
        <v>-101.69999999999899</v>
      </c>
      <c r="T241" s="253"/>
      <c r="U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38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8.6545089395885497E-2</v>
      </c>
      <c r="R242" s="224"/>
      <c r="S242" s="197">
        <f>IFERROR(S241/R241,0)</f>
        <v>0</v>
      </c>
      <c r="T242" s="253"/>
      <c r="U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38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38"/>
        <v>CarrosserieM/O Carrosserie</v>
      </c>
      <c r="B244" s="24" t="s">
        <v>163</v>
      </c>
      <c r="C244" s="312" t="s">
        <v>165</v>
      </c>
      <c r="D244" s="271">
        <f>+INDEX('Budget original'!$A$2:$AO$501,MATCH($A244,'Budget original'!$A$2:$A$501,0),MATCH(D$2,'Budget original'!$A$2:$AO$2,0))</f>
        <v>0</v>
      </c>
      <c r="E244" s="195">
        <f>+INDEX('Budget original'!$A$2:$AO$501,MATCH($A244,'Budget original'!$A$2:$A$501,0),MATCH(E$2,'Budget original'!$A$2:$AO$2,0))</f>
        <v>0</v>
      </c>
      <c r="F244" s="195">
        <f>+INDEX('Budget original'!$A$2:$AO$501,MATCH($A244,'Budget original'!$A$2:$A$501,0),MATCH(F$2,'Budget original'!$A$2:$AO$2,0))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-SUMIFS(BV_Data_An_Cour!$O:$O,BV_Data_An_Cour!$X:$X,"Oui",BV_Data_An_Cour!$U:$U,$B244,BV_Data_An_Cour!$V:$V,$C244)</f>
        <v>0</v>
      </c>
      <c r="L244" s="181">
        <f>-SUMIFS(BV_Data_An_Cour!$O:$O,BV_Data_An_Cour!$U:$U,$B244,BV_Data_An_Cour!$V:$V,$C244,BV_Data_An_Cour!$W:$W,$L$2)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>
        <f t="array" ref="O244">+INDEX('Réel 2024'!$A$2:$AO$501,MATCH($A244,'Réel 2024'!$A$2:$A$501,0),MATCH(O$2,'Réel 2024'!$A$2:$AO$2,0))</f>
        <v>0</v>
      </c>
      <c r="P244" s="186">
        <f t="array" ref="P244">+INDEX('Réel 2024'!$A$2:$AO$501,MATCH($A244,'Réel 2024'!$A$2:$A$501,0),MATCH(P$2,'Réel 2024'!$A$2:$AO$2,0))</f>
        <v>0</v>
      </c>
      <c r="Q244" s="181">
        <f t="array" ref="Q244">+INDEX('Réel 2024'!$A$2:$AO$501,MATCH($A244,'Réel 2024'!$A$2:$A$501,0),MATCH(Q$2,'Réel 2024'!$A$2:$AO$2,0))</f>
        <v>0</v>
      </c>
      <c r="R244" s="293">
        <f>IF(O244=0,0,J244/O244)</f>
        <v>0</v>
      </c>
      <c r="S244" s="199">
        <f>L244-Q244</f>
        <v>0</v>
      </c>
      <c r="T244" s="208"/>
      <c r="U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38"/>
        <v>Carrosserie% profit / ventes</v>
      </c>
      <c r="B245" s="24" t="s">
        <v>163</v>
      </c>
      <c r="C245" s="251" t="s">
        <v>152</v>
      </c>
      <c r="D245" s="178"/>
      <c r="E245" s="226"/>
      <c r="F245" s="227" t="e">
        <f>F244/E244</f>
        <v>#DIV/0!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38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38"/>
        <v>CarrosserieM/O Esthétique Carr.</v>
      </c>
      <c r="B247" s="24" t="s">
        <v>163</v>
      </c>
      <c r="C247" s="312" t="s">
        <v>166</v>
      </c>
      <c r="D247" s="316">
        <v>0</v>
      </c>
      <c r="E247" s="195">
        <v>0</v>
      </c>
      <c r="F247" s="195"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-SUMIFS(BV_Data_An_Cour!$O:$O,BV_Data_An_Cour!$X:$X,"Oui",BV_Data_An_Cour!$U:$U,$B247,BV_Data_An_Cour!$V:$V,$C247)</f>
        <v>0</v>
      </c>
      <c r="L247" s="180">
        <f>-SUMIFS(BV_Data_An_Cour!$O:$O,BV_Data_An_Cour!$U:$U,$B247,BV_Data_An_Cour!$V:$V,$C247,BV_Data_An_Cour!$W:$W,$L$2)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208"/>
      <c r="U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38"/>
        <v>Carrosserie% profit / ventes</v>
      </c>
      <c r="B248" s="24" t="s">
        <v>163</v>
      </c>
      <c r="C248" s="251" t="s">
        <v>152</v>
      </c>
      <c r="D248" s="178"/>
      <c r="E248" s="178"/>
      <c r="F248" s="227" t="e">
        <f>F247/E247</f>
        <v>#DIV/0!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38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38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39">P244+P247+P241</f>
        <v>1175.1099999999999</v>
      </c>
      <c r="Q250" s="28">
        <f t="shared" si="39"/>
        <v>101.69999999999899</v>
      </c>
      <c r="R250" s="70">
        <f>L251-Q251</f>
        <v>-8.6545089395885497E-2</v>
      </c>
      <c r="S250" s="321">
        <f>L250-Q250</f>
        <v>-101.69999999999899</v>
      </c>
      <c r="T250" s="208"/>
      <c r="U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38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8.6545089395885497E-2</v>
      </c>
      <c r="R251" s="33"/>
      <c r="S251" s="259">
        <f>IF(R250=0,0,S250/R250)</f>
        <v>1175.1099999999999</v>
      </c>
      <c r="T251" s="208"/>
      <c r="U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38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38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38"/>
        <v>CarrosserieSalaires cadres</v>
      </c>
      <c r="B254" s="24" t="s">
        <v>163</v>
      </c>
      <c r="C254" s="267" t="s">
        <v>109</v>
      </c>
      <c r="D254" s="178"/>
      <c r="E254" s="178"/>
      <c r="F254" s="179">
        <f>+INDEX('Budget original'!$A$2:$AO$501,MATCH($A254,'Budget original'!$A$2:$A$501,0),MATCH(F$2,'Budget original'!$A$2:$AO$2,0))</f>
        <v>0</v>
      </c>
      <c r="G254" s="223"/>
      <c r="H254" s="178"/>
      <c r="I254" s="179"/>
      <c r="J254" s="223"/>
      <c r="K254" s="178"/>
      <c r="L254" s="180">
        <f>SUMIFS(BV_Data_An_Cour!$O:$O,BV_Data_An_Cour!$U:$U,$B254,BV_Data_An_Cour!$V:$V,$C254,BV_Data_An_Cour!$W:$W,$L$2)</f>
        <v>0</v>
      </c>
      <c r="M254" s="223"/>
      <c r="N254" s="225">
        <f t="shared" ref="N254:N284" si="40">L254-F254</f>
        <v>0</v>
      </c>
      <c r="O254" s="223"/>
      <c r="P254" s="178"/>
      <c r="Q254" s="180">
        <f t="array" ref="Q254">+INDEX('Réel 2024'!$A$2:$AO$501,MATCH($A254,'Réel 2024'!$A$2:$A$501,0),MATCH(Q$2,'Réel 2024'!$A$2:$AO$2,0))</f>
        <v>304.27</v>
      </c>
      <c r="R254" s="223"/>
      <c r="S254" s="197">
        <f t="shared" ref="S254:S265" si="41">L254-Q254</f>
        <v>-304.27</v>
      </c>
      <c r="T254" s="178"/>
      <c r="U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38"/>
        <v>CarrosserieSalaires commis</v>
      </c>
      <c r="B255" s="24" t="s">
        <v>163</v>
      </c>
      <c r="C255" s="268" t="s">
        <v>110</v>
      </c>
      <c r="D255" s="249"/>
      <c r="E255" s="178"/>
      <c r="F255" s="177">
        <f>+INDEX('Budget original'!$A$2:$AO$501,MATCH($A255,'Budget original'!$A$2:$A$501,0),MATCH(F$2,'Budget original'!$A$2:$AO$2,0))</f>
        <v>0</v>
      </c>
      <c r="G255" s="269"/>
      <c r="H255" s="178"/>
      <c r="I255" s="177"/>
      <c r="J255" s="223"/>
      <c r="K255" s="178"/>
      <c r="L255" s="180">
        <f>SUMIFS(BV_Data_An_Cour!$O:$O,BV_Data_An_Cour!$U:$U,$B255,BV_Data_An_Cour!$V:$V,$C255,BV_Data_An_Cour!$W:$W,$L$2)</f>
        <v>0</v>
      </c>
      <c r="M255" s="223"/>
      <c r="N255" s="225">
        <f t="shared" si="40"/>
        <v>0</v>
      </c>
      <c r="O255" s="223"/>
      <c r="P255" s="178"/>
      <c r="Q255" s="180">
        <f t="array" ref="Q255">+INDEX('Réel 2024'!$A$2:$AO$501,MATCH($A255,'Réel 2024'!$A$2:$A$501,0),MATCH(Q$2,'Réel 2024'!$A$2:$AO$2,0))</f>
        <v>339.43</v>
      </c>
      <c r="R255" s="223"/>
      <c r="S255" s="197">
        <f>L255-Q255</f>
        <v>-339.43</v>
      </c>
      <c r="T255" s="178"/>
      <c r="U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38"/>
        <v>CarrosserieSalaires autres</v>
      </c>
      <c r="B256" s="24" t="s">
        <v>163</v>
      </c>
      <c r="C256" s="267" t="s">
        <v>111</v>
      </c>
      <c r="D256" s="270"/>
      <c r="E256" s="271"/>
      <c r="F256" s="179">
        <f>+INDEX('Budget original'!$A$2:$AO$501,MATCH($A256,'Budget original'!$A$2:$A$501,0),MATCH(F$2,'Budget original'!$A$2:$AO$2,0))</f>
        <v>0</v>
      </c>
      <c r="G256" s="272"/>
      <c r="H256" s="271"/>
      <c r="I256" s="179"/>
      <c r="J256" s="273"/>
      <c r="K256" s="271"/>
      <c r="L256" s="181">
        <f>SUMIFS(BV_Data_An_Cour!$O:$O,BV_Data_An_Cour!$U:$U,$B256,BV_Data_An_Cour!$V:$V,$C256,BV_Data_An_Cour!$W:$W,$L$2)</f>
        <v>0</v>
      </c>
      <c r="M256" s="273"/>
      <c r="N256" s="274">
        <f t="shared" si="40"/>
        <v>0</v>
      </c>
      <c r="O256" s="273"/>
      <c r="P256" s="271"/>
      <c r="Q256" s="181">
        <f t="array" ref="Q256">+INDEX('Réel 2024'!$A$2:$AO$501,MATCH($A256,'Réel 2024'!$A$2:$A$501,0),MATCH(Q$2,'Réel 2024'!$A$2:$AO$2,0))</f>
        <v>19</v>
      </c>
      <c r="R256" s="273"/>
      <c r="S256" s="199">
        <f t="shared" si="41"/>
        <v>-19</v>
      </c>
      <c r="T256" s="178"/>
      <c r="U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38"/>
        <v>CarrosserieSalaires spécialistes</v>
      </c>
      <c r="B257" s="24" t="s">
        <v>163</v>
      </c>
      <c r="C257" s="267" t="s">
        <v>112</v>
      </c>
      <c r="D257" s="249"/>
      <c r="E257" s="178"/>
      <c r="F257" s="179">
        <f>+INDEX('Budget original'!$A$2:$AO$501,MATCH($A257,'Budget original'!$A$2:$A$501,0),MATCH(F$2,'Budget original'!$A$2:$AO$2,0))</f>
        <v>0</v>
      </c>
      <c r="G257" s="269"/>
      <c r="H257" s="178"/>
      <c r="I257" s="179"/>
      <c r="J257" s="223"/>
      <c r="K257" s="178"/>
      <c r="L257" s="180">
        <f>SUMIFS(BV_Data_An_Cour!$O:$O,BV_Data_An_Cour!$U:$U,$B257,BV_Data_An_Cour!$V:$V,$C257,BV_Data_An_Cour!$W:$W,$L$2)</f>
        <v>0</v>
      </c>
      <c r="M257" s="223"/>
      <c r="N257" s="225">
        <f t="shared" si="40"/>
        <v>0</v>
      </c>
      <c r="O257" s="223"/>
      <c r="P257" s="178"/>
      <c r="Q257" s="180">
        <f t="array" ref="Q257">+INDEX('Réel 2024'!$A$2:$AO$501,MATCH($A257,'Réel 2024'!$A$2:$A$501,0),MATCH(Q$2,'Réel 2024'!$A$2:$AO$2,0))</f>
        <v>0</v>
      </c>
      <c r="R257" s="223"/>
      <c r="S257" s="197">
        <f t="shared" si="41"/>
        <v>0</v>
      </c>
      <c r="T257" s="178"/>
      <c r="U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38"/>
        <v>Carrosserie[...]</v>
      </c>
      <c r="B258" s="24" t="s">
        <v>163</v>
      </c>
      <c r="C258" s="251" t="s">
        <v>42</v>
      </c>
      <c r="D258" s="249"/>
      <c r="E258" s="178"/>
      <c r="F258" s="179">
        <f>+INDEX('Budget original'!$A$2:$AO$501,MATCH($A258,'Budget original'!$A$2:$A$501,0),MATCH(F$2,'Budget original'!$A$2:$AO$2,0))</f>
        <v>0</v>
      </c>
      <c r="G258" s="269"/>
      <c r="H258" s="178"/>
      <c r="I258" s="179"/>
      <c r="J258" s="223"/>
      <c r="K258" s="178"/>
      <c r="L258" s="180">
        <f>SUMIFS(BV_Data_An_Cour!$O:$O,BV_Data_An_Cour!$U:$U,$B258,BV_Data_An_Cour!$V:$V,$C258,BV_Data_An_Cour!$W:$W,$L$2)</f>
        <v>0</v>
      </c>
      <c r="M258" s="223"/>
      <c r="N258" s="225">
        <f t="shared" si="40"/>
        <v>0</v>
      </c>
      <c r="O258" s="223"/>
      <c r="P258" s="178"/>
      <c r="Q258" s="180">
        <f t="array" ref="Q258">+INDEX('Réel 2024'!$A$2:$AO$501,MATCH($A258,'Réel 2024'!$A$2:$A$501,0),MATCH(Q$2,'Réel 2024'!$A$2:$AO$2,0))</f>
        <v>0</v>
      </c>
      <c r="R258" s="223"/>
      <c r="S258" s="197">
        <f t="shared" si="41"/>
        <v>0</v>
      </c>
      <c r="T258" s="178"/>
      <c r="U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38"/>
        <v>Carrosserie[...]</v>
      </c>
      <c r="B259" s="24" t="s">
        <v>163</v>
      </c>
      <c r="C259" s="251" t="s">
        <v>42</v>
      </c>
      <c r="D259" s="249"/>
      <c r="E259" s="178"/>
      <c r="F259" s="179">
        <f>+INDEX('Budget original'!$A$2:$AO$501,MATCH($A259,'Budget original'!$A$2:$A$501,0),MATCH(F$2,'Budget original'!$A$2:$AO$2,0))</f>
        <v>0</v>
      </c>
      <c r="G259" s="269"/>
      <c r="H259" s="178"/>
      <c r="I259" s="179"/>
      <c r="J259" s="223"/>
      <c r="K259" s="178"/>
      <c r="L259" s="180">
        <f>SUMIFS(BV_Data_An_Cour!$O:$O,BV_Data_An_Cour!$U:$U,$B259,BV_Data_An_Cour!$V:$V,$C259,BV_Data_An_Cour!$W:$W,$L$2)</f>
        <v>0</v>
      </c>
      <c r="M259" s="223"/>
      <c r="N259" s="225">
        <f t="shared" si="40"/>
        <v>0</v>
      </c>
      <c r="O259" s="223"/>
      <c r="P259" s="178"/>
      <c r="Q259" s="180">
        <f t="array" ref="Q259">+INDEX('Réel 2024'!$A$2:$AO$501,MATCH($A259,'Réel 2024'!$A$2:$A$501,0),MATCH(Q$2,'Réel 2024'!$A$2:$AO$2,0))</f>
        <v>0</v>
      </c>
      <c r="R259" s="223"/>
      <c r="S259" s="197">
        <f t="shared" si="41"/>
        <v>0</v>
      </c>
      <c r="T259" s="178"/>
      <c r="U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38"/>
        <v>Carrosserie[...]</v>
      </c>
      <c r="B260" s="24" t="s">
        <v>163</v>
      </c>
      <c r="C260" s="251" t="s">
        <v>42</v>
      </c>
      <c r="D260" s="249"/>
      <c r="E260" s="178"/>
      <c r="F260" s="179">
        <f>+INDEX('Budget original'!$A$2:$AO$501,MATCH($A260,'Budget original'!$A$2:$A$501,0),MATCH(F$2,'Budget original'!$A$2:$AO$2,0))</f>
        <v>0</v>
      </c>
      <c r="G260" s="269"/>
      <c r="H260" s="178"/>
      <c r="I260" s="179"/>
      <c r="J260" s="223"/>
      <c r="K260" s="178"/>
      <c r="L260" s="180">
        <f>SUMIFS(BV_Data_An_Cour!$O:$O,BV_Data_An_Cour!$U:$U,$B260,BV_Data_An_Cour!$V:$V,$C260,BV_Data_An_Cour!$W:$W,$L$2)</f>
        <v>0</v>
      </c>
      <c r="M260" s="223"/>
      <c r="N260" s="225">
        <f t="shared" si="40"/>
        <v>0</v>
      </c>
      <c r="O260" s="223"/>
      <c r="P260" s="178"/>
      <c r="Q260" s="180">
        <f t="array" ref="Q260">+INDEX('Réel 2024'!$A$2:$AO$501,MATCH($A260,'Réel 2024'!$A$2:$A$501,0),MATCH(Q$2,'Réel 2024'!$A$2:$AO$2,0))</f>
        <v>0</v>
      </c>
      <c r="R260" s="223"/>
      <c r="S260" s="197">
        <f t="shared" si="41"/>
        <v>0</v>
      </c>
      <c r="T260" s="25"/>
      <c r="U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8"/>
        <v>CarrosserieSalaires en absences</v>
      </c>
      <c r="B261" s="24" t="s">
        <v>163</v>
      </c>
      <c r="C261" s="268" t="s">
        <v>113</v>
      </c>
      <c r="D261" s="249"/>
      <c r="E261" s="178"/>
      <c r="F261" s="177">
        <f>+INDEX('Budget original'!$A$2:$AO$501,MATCH($A261,'Budget original'!$A$2:$A$501,0),MATCH(F$2,'Budget original'!$A$2:$AO$2,0))</f>
        <v>0</v>
      </c>
      <c r="G261" s="269"/>
      <c r="H261" s="178"/>
      <c r="I261" s="177"/>
      <c r="J261" s="223"/>
      <c r="K261" s="178"/>
      <c r="L261" s="180">
        <f>SUMIFS(BV_Data_An_Cour!$O:$O,BV_Data_An_Cour!$U:$U,$B261,BV_Data_An_Cour!$V:$V,$C261,BV_Data_An_Cour!$W:$W,$L$2)</f>
        <v>0</v>
      </c>
      <c r="M261" s="223"/>
      <c r="N261" s="225">
        <f t="shared" si="40"/>
        <v>0</v>
      </c>
      <c r="O261" s="223"/>
      <c r="P261" s="178"/>
      <c r="Q261" s="180">
        <f t="array" ref="Q261">+INDEX('Réel 2024'!$A$2:$AO$501,MATCH($A261,'Réel 2024'!$A$2:$A$501,0),MATCH(Q$2,'Réel 2024'!$A$2:$AO$2,0))</f>
        <v>57.79</v>
      </c>
      <c r="R261" s="223"/>
      <c r="S261" s="197">
        <f t="shared" si="41"/>
        <v>-57.79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8"/>
        <v>CarrosserieDéduction à la source</v>
      </c>
      <c r="B262" s="24" t="s">
        <v>163</v>
      </c>
      <c r="C262" s="267" t="s">
        <v>114</v>
      </c>
      <c r="D262" s="270"/>
      <c r="E262" s="271"/>
      <c r="F262" s="179">
        <f>+INDEX('Budget original'!$A$2:$AO$501,MATCH($A262,'Budget original'!$A$2:$A$501,0),MATCH(F$2,'Budget original'!$A$2:$AO$2,0))</f>
        <v>0</v>
      </c>
      <c r="G262" s="272"/>
      <c r="H262" s="271"/>
      <c r="I262" s="179"/>
      <c r="J262" s="273"/>
      <c r="K262" s="271"/>
      <c r="L262" s="181">
        <f>SUMIFS(BV_Data_An_Cour!$O:$O,BV_Data_An_Cour!$U:$U,$B262,BV_Data_An_Cour!$V:$V,$C262,BV_Data_An_Cour!$W:$W,$L$2)</f>
        <v>0</v>
      </c>
      <c r="M262" s="273"/>
      <c r="N262" s="274">
        <f t="shared" si="40"/>
        <v>0</v>
      </c>
      <c r="O262" s="273"/>
      <c r="P262" s="271"/>
      <c r="Q262" s="181">
        <f t="array" ref="Q262">+INDEX('Réel 2024'!$A$2:$AO$501,MATCH($A262,'Réel 2024'!$A$2:$A$501,0),MATCH(Q$2,'Réel 2024'!$A$2:$AO$2,0))</f>
        <v>214.1</v>
      </c>
      <c r="R262" s="273"/>
      <c r="S262" s="199">
        <f t="shared" si="41"/>
        <v>-214.1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8"/>
        <v>CarrosserieBénéfices marginaux</v>
      </c>
      <c r="B263" s="24" t="s">
        <v>163</v>
      </c>
      <c r="C263" s="267" t="s">
        <v>115</v>
      </c>
      <c r="D263" s="249"/>
      <c r="E263" s="178"/>
      <c r="F263" s="179">
        <f>+INDEX('Budget original'!$A$2:$AO$501,MATCH($A263,'Budget original'!$A$2:$A$501,0),MATCH(F$2,'Budget original'!$A$2:$AO$2,0))</f>
        <v>0</v>
      </c>
      <c r="G263" s="269"/>
      <c r="H263" s="178"/>
      <c r="I263" s="179"/>
      <c r="J263" s="223"/>
      <c r="K263" s="178"/>
      <c r="L263" s="180">
        <f>SUMIFS(BV_Data_An_Cour!$O:$O,BV_Data_An_Cour!$U:$U,$B263,BV_Data_An_Cour!$V:$V,$C263,BV_Data_An_Cour!$W:$W,$L$2)</f>
        <v>0</v>
      </c>
      <c r="M263" s="223"/>
      <c r="N263" s="225">
        <f t="shared" si="40"/>
        <v>0</v>
      </c>
      <c r="O263" s="223"/>
      <c r="P263" s="178"/>
      <c r="Q263" s="180">
        <f t="array" ref="Q263">+INDEX('Réel 2024'!$A$2:$AO$501,MATCH($A263,'Réel 2024'!$A$2:$A$501,0),MATCH(Q$2,'Réel 2024'!$A$2:$AO$2,0))</f>
        <v>42.5</v>
      </c>
      <c r="R263" s="223"/>
      <c r="S263" s="197">
        <f t="shared" si="41"/>
        <v>-42.5</v>
      </c>
      <c r="T263" s="178"/>
      <c r="U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38"/>
        <v>CarrosserieCsst</v>
      </c>
      <c r="B264" s="24" t="s">
        <v>163</v>
      </c>
      <c r="C264" s="267" t="s">
        <v>116</v>
      </c>
      <c r="D264" s="249"/>
      <c r="E264" s="178"/>
      <c r="F264" s="179">
        <f>+INDEX('Budget original'!$A$2:$AO$501,MATCH($A264,'Budget original'!$A$2:$A$501,0),MATCH(F$2,'Budget original'!$A$2:$AO$2,0))</f>
        <v>0</v>
      </c>
      <c r="G264" s="269"/>
      <c r="H264" s="178"/>
      <c r="I264" s="179"/>
      <c r="J264" s="223"/>
      <c r="K264" s="178"/>
      <c r="L264" s="180">
        <f>SUMIFS(BV_Data_An_Cour!$O:$O,BV_Data_An_Cour!$U:$U,$B264,BV_Data_An_Cour!$V:$V,$C264,BV_Data_An_Cour!$W:$W,$L$2)</f>
        <v>0</v>
      </c>
      <c r="M264" s="746"/>
      <c r="N264" s="194">
        <f t="shared" si="40"/>
        <v>0</v>
      </c>
      <c r="O264" s="223"/>
      <c r="P264" s="178"/>
      <c r="Q264" s="180">
        <f t="array" ref="Q264">+INDEX('Réel 2024'!$A$2:$AO$501,MATCH($A264,'Réel 2024'!$A$2:$A$501,0),MATCH(Q$2,'Réel 2024'!$A$2:$AO$2,0))</f>
        <v>4.3600000000000003</v>
      </c>
      <c r="R264" s="223"/>
      <c r="S264" s="197">
        <f t="shared" si="41"/>
        <v>-4.3600000000000003</v>
      </c>
      <c r="T264" s="178"/>
      <c r="U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38"/>
        <v>Carrosserie[...]</v>
      </c>
      <c r="B265" s="24" t="s">
        <v>163</v>
      </c>
      <c r="C265" s="251" t="s">
        <v>42</v>
      </c>
      <c r="D265" s="275"/>
      <c r="E265" s="276"/>
      <c r="F265" s="179">
        <f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SUMIFS(BV_Data_An_Cour!$O:$O,BV_Data_An_Cour!$U:$U,$B265,BV_Data_An_Cour!$V:$V,$C265,BV_Data_An_Cour!$W:$W,$L$2)</f>
        <v>0</v>
      </c>
      <c r="M265" s="278"/>
      <c r="N265" s="279">
        <f t="shared" si="4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41"/>
        <v>0</v>
      </c>
      <c r="T265" s="178"/>
      <c r="U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38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0"/>
        <v>0</v>
      </c>
      <c r="O266" s="42" t="s">
        <v>108</v>
      </c>
      <c r="P266" s="40">
        <f>IF(Q244=0,0,Q266/Q$244)</f>
        <v>0</v>
      </c>
      <c r="Q266" s="41">
        <f>+SUM(Q254:Q265)</f>
        <v>981.45</v>
      </c>
      <c r="R266" s="43"/>
      <c r="S266" s="281">
        <f t="shared" ref="S266:S284" si="42">L266-Q266</f>
        <v>-981.45</v>
      </c>
      <c r="T266" s="178"/>
      <c r="U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38"/>
        <v>CarrosseriePublicité 2</v>
      </c>
      <c r="B267" s="24" t="s">
        <v>163</v>
      </c>
      <c r="C267" s="282" t="s">
        <v>118</v>
      </c>
      <c r="D267" s="249"/>
      <c r="E267" s="178"/>
      <c r="F267" s="179">
        <f>+INDEX('Budget original'!$A$2:$AO$501,MATCH($A267,'Budget original'!$A$2:$A$501,0),MATCH(F$2,'Budget original'!$A$2:$AO$2,0))</f>
        <v>0</v>
      </c>
      <c r="G267" s="269"/>
      <c r="H267" s="178"/>
      <c r="I267" s="179"/>
      <c r="J267" s="223"/>
      <c r="K267" s="178"/>
      <c r="L267" s="180">
        <f>SUMIFS(BV_Data_An_Cour!$O:$O,BV_Data_An_Cour!$U:$U,$B267,BV_Data_An_Cour!$V:$V,$C267,BV_Data_An_Cour!$W:$W,$L$2)</f>
        <v>0</v>
      </c>
      <c r="M267" s="223"/>
      <c r="N267" s="225">
        <f t="shared" si="40"/>
        <v>0</v>
      </c>
      <c r="O267" s="223"/>
      <c r="P267" s="178"/>
      <c r="Q267" s="180">
        <f t="array" ref="Q267">+INDEX('Réel 2024'!$A$2:$AO$501,MATCH($A267,'Réel 2024'!$A$2:$A$501,0),MATCH(Q$2,'Réel 2024'!$A$2:$AO$2,0))</f>
        <v>104</v>
      </c>
      <c r="R267" s="223"/>
      <c r="S267" s="197">
        <f t="shared" si="42"/>
        <v>-104</v>
      </c>
      <c r="T267" s="178"/>
      <c r="U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38"/>
        <v>CarrosserieService gratuit 2</v>
      </c>
      <c r="B268" s="24" t="s">
        <v>163</v>
      </c>
      <c r="C268" s="267" t="s">
        <v>119</v>
      </c>
      <c r="D268" s="249"/>
      <c r="E268" s="178"/>
      <c r="F268" s="179">
        <f>+INDEX('Budget original'!$A$2:$AO$501,MATCH($A268,'Budget original'!$A$2:$A$501,0),MATCH(F$2,'Budget original'!$A$2:$AO$2,0))</f>
        <v>0</v>
      </c>
      <c r="G268" s="269"/>
      <c r="H268" s="178"/>
      <c r="I268" s="179"/>
      <c r="J268" s="223"/>
      <c r="K268" s="178"/>
      <c r="L268" s="180">
        <f>SUMIFS(BV_Data_An_Cour!$O:$O,BV_Data_An_Cour!$U:$U,$B268,BV_Data_An_Cour!$V:$V,$C268,BV_Data_An_Cour!$W:$W,$L$2)</f>
        <v>0</v>
      </c>
      <c r="M268" s="223"/>
      <c r="N268" s="225">
        <f t="shared" si="40"/>
        <v>0</v>
      </c>
      <c r="O268" s="223"/>
      <c r="P268" s="178"/>
      <c r="Q268" s="180">
        <f t="array" ref="Q268">+INDEX('Réel 2024'!$A$2:$AO$501,MATCH($A268,'Réel 2024'!$A$2:$A$501,0),MATCH(Q$2,'Réel 2024'!$A$2:$AO$2,0))</f>
        <v>0</v>
      </c>
      <c r="R268" s="223"/>
      <c r="S268" s="197">
        <f t="shared" si="42"/>
        <v>0</v>
      </c>
      <c r="T268" s="178"/>
      <c r="U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38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f>+INDEX('Budget original'!$A$2:$AO$501,MATCH($A269,'Budget original'!$A$2:$A$501,0),MATCH(F$2,'Budget original'!$A$2:$AO$2,0))</f>
        <v>0</v>
      </c>
      <c r="G269" s="277"/>
      <c r="H269" s="276"/>
      <c r="I269" s="177"/>
      <c r="J269" s="278"/>
      <c r="K269" s="276"/>
      <c r="L269" s="180">
        <f>SUMIFS(BV_Data_An_Cour!$O:$O,BV_Data_An_Cour!$U:$U,$B269,BV_Data_An_Cour!$V:$V,$C269,BV_Data_An_Cour!$W:$W,$L$2)</f>
        <v>0</v>
      </c>
      <c r="M269" s="278"/>
      <c r="N269" s="279">
        <f t="shared" si="40"/>
        <v>0</v>
      </c>
      <c r="O269" s="278"/>
      <c r="P269" s="276"/>
      <c r="Q269" s="180">
        <f t="array" ref="Q269">+INDEX('Réel 2024'!$A$2:$AO$501,MATCH($A269,'Réel 2024'!$A$2:$A$501,0),MATCH(Q$2,'Réel 2024'!$A$2:$AO$2,0))</f>
        <v>75.2</v>
      </c>
      <c r="R269" s="278"/>
      <c r="S269" s="200">
        <f t="shared" si="42"/>
        <v>-75.2</v>
      </c>
      <c r="T269" s="178"/>
      <c r="U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38"/>
        <v>CarrosserieInformatique</v>
      </c>
      <c r="B270" s="24" t="s">
        <v>163</v>
      </c>
      <c r="C270" s="267" t="s">
        <v>121</v>
      </c>
      <c r="D270" s="249"/>
      <c r="E270" s="178"/>
      <c r="F270" s="179">
        <f>+INDEX('Budget original'!$A$2:$AO$501,MATCH($A270,'Budget original'!$A$2:$A$501,0),MATCH(F$2,'Budget original'!$A$2:$AO$2,0))</f>
        <v>0</v>
      </c>
      <c r="G270" s="269"/>
      <c r="H270" s="178"/>
      <c r="I270" s="179"/>
      <c r="J270" s="223"/>
      <c r="K270" s="178"/>
      <c r="L270" s="181">
        <f>SUMIFS(BV_Data_An_Cour!$O:$O,BV_Data_An_Cour!$U:$U,$B270,BV_Data_An_Cour!$V:$V,$C270,BV_Data_An_Cour!$W:$W,$L$2)</f>
        <v>0</v>
      </c>
      <c r="M270" s="223"/>
      <c r="N270" s="225">
        <f t="shared" si="40"/>
        <v>0</v>
      </c>
      <c r="O270" s="223"/>
      <c r="P270" s="178"/>
      <c r="Q270" s="181">
        <f t="array" ref="Q270">+INDEX('Réel 2024'!$A$2:$AO$501,MATCH($A270,'Réel 2024'!$A$2:$A$501,0),MATCH(Q$2,'Réel 2024'!$A$2:$AO$2,0))</f>
        <v>176.9</v>
      </c>
      <c r="R270" s="223"/>
      <c r="S270" s="197">
        <f t="shared" si="42"/>
        <v>-176.9</v>
      </c>
      <c r="T270" s="178"/>
      <c r="U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38"/>
        <v>CarrosserieFrais de déplacement</v>
      </c>
      <c r="B271" s="24" t="s">
        <v>163</v>
      </c>
      <c r="C271" s="267" t="s">
        <v>122</v>
      </c>
      <c r="D271" s="249"/>
      <c r="E271" s="178"/>
      <c r="F271" s="179">
        <f>+INDEX('Budget original'!$A$2:$AO$501,MATCH($A271,'Budget original'!$A$2:$A$501,0),MATCH(F$2,'Budget original'!$A$2:$AO$2,0))</f>
        <v>0</v>
      </c>
      <c r="G271" s="269"/>
      <c r="H271" s="178"/>
      <c r="I271" s="179"/>
      <c r="J271" s="223"/>
      <c r="K271" s="178"/>
      <c r="L271" s="180">
        <f>SUMIFS(BV_Data_An_Cour!$O:$O,BV_Data_An_Cour!$U:$U,$B271,BV_Data_An_Cour!$V:$V,$C271,BV_Data_An_Cour!$W:$W,$L$2)</f>
        <v>0</v>
      </c>
      <c r="M271" s="223"/>
      <c r="N271" s="225">
        <f t="shared" si="40"/>
        <v>0</v>
      </c>
      <c r="O271" s="223"/>
      <c r="P271" s="178"/>
      <c r="Q271" s="180">
        <f t="array" ref="Q271">+INDEX('Réel 2024'!$A$2:$AO$501,MATCH($A271,'Réel 2024'!$A$2:$A$501,0),MATCH(Q$2,'Réel 2024'!$A$2:$AO$2,0))</f>
        <v>4.4400000000000004</v>
      </c>
      <c r="R271" s="223"/>
      <c r="S271" s="197">
        <f t="shared" si="42"/>
        <v>-4.4400000000000004</v>
      </c>
      <c r="T271" s="178"/>
      <c r="U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38"/>
        <v>CarrosserieServices extérieurs</v>
      </c>
      <c r="B272" s="24" t="s">
        <v>163</v>
      </c>
      <c r="C272" s="267" t="s">
        <v>123</v>
      </c>
      <c r="D272" s="275"/>
      <c r="E272" s="276"/>
      <c r="F272" s="177">
        <f>+INDEX('Budget original'!$A$2:$AO$501,MATCH($A272,'Budget original'!$A$2:$A$501,0),MATCH(F$2,'Budget original'!$A$2:$AO$2,0))</f>
        <v>0</v>
      </c>
      <c r="G272" s="277"/>
      <c r="H272" s="276"/>
      <c r="I272" s="177"/>
      <c r="J272" s="278"/>
      <c r="K272" s="276"/>
      <c r="L272" s="180">
        <f>SUMIFS(BV_Data_An_Cour!$O:$O,BV_Data_An_Cour!$U:$U,$B272,BV_Data_An_Cour!$V:$V,$C272,BV_Data_An_Cour!$W:$W,$L$2)</f>
        <v>0</v>
      </c>
      <c r="M272" s="278"/>
      <c r="N272" s="279">
        <f t="shared" si="40"/>
        <v>0</v>
      </c>
      <c r="O272" s="278"/>
      <c r="P272" s="276"/>
      <c r="Q272" s="177">
        <f t="array" ref="Q272">+INDEX('Réel 2024'!$A$2:$AO$501,MATCH($A272,'Réel 2024'!$A$2:$A$501,0),MATCH(Q$2,'Réel 2024'!$A$2:$AO$2,0))</f>
        <v>120.15</v>
      </c>
      <c r="R272" s="278"/>
      <c r="S272" s="200">
        <f t="shared" si="42"/>
        <v>-120.15</v>
      </c>
      <c r="T272" s="178"/>
      <c r="U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SUMIFS(BV_Data_An_Cour!$O:$O,BV_Data_An_Cour!$U:$U,$B273,BV_Data_An_Cour!$V:$V,$C273,BV_Data_An_Cour!$W:$W,$L$2)</f>
        <v>0</v>
      </c>
      <c r="M273" s="223"/>
      <c r="N273" s="225">
        <f t="shared" si="40"/>
        <v>0</v>
      </c>
      <c r="O273" s="223"/>
      <c r="P273" s="178"/>
      <c r="Q273" s="180">
        <f t="array" ref="Q273">+INDEX('Réel 2024'!$A$2:$AO$501,MATCH($A273,'Réel 2024'!$A$2:$A$501,0),MATCH(Q$2,'Réel 2024'!$A$2:$AO$2,0))</f>
        <v>0</v>
      </c>
      <c r="R273" s="223"/>
      <c r="S273" s="197">
        <f>L273-Q273</f>
        <v>0</v>
      </c>
      <c r="T273" s="25"/>
      <c r="U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8"/>
        <v>CarrosserieFournitures autres</v>
      </c>
      <c r="B274" s="24" t="s">
        <v>163</v>
      </c>
      <c r="C274" s="267" t="s">
        <v>124</v>
      </c>
      <c r="D274" s="249"/>
      <c r="E274" s="178"/>
      <c r="F274" s="179">
        <f>+INDEX('Budget original'!$A$2:$AO$501,MATCH($A274,'Budget original'!$A$2:$A$501,0),MATCH(F$2,'Budget original'!$A$2:$AO$2,0))</f>
        <v>0</v>
      </c>
      <c r="G274" s="269"/>
      <c r="H274" s="178"/>
      <c r="I274" s="179"/>
      <c r="J274" s="223"/>
      <c r="K274" s="178"/>
      <c r="L274" s="180">
        <f>SUMIFS(BV_Data_An_Cour!$O:$O,BV_Data_An_Cour!$U:$U,$B274,BV_Data_An_Cour!$V:$V,$C274,BV_Data_An_Cour!$W:$W,$L$2)</f>
        <v>0</v>
      </c>
      <c r="M274" s="223"/>
      <c r="N274" s="225">
        <f t="shared" si="40"/>
        <v>0</v>
      </c>
      <c r="O274" s="223"/>
      <c r="P274" s="178"/>
      <c r="Q274" s="180">
        <f t="array" ref="Q274">+INDEX('Réel 2024'!$A$2:$AO$501,MATCH($A274,'Réel 2024'!$A$2:$A$501,0),MATCH(Q$2,'Réel 2024'!$A$2:$AO$2,0))</f>
        <v>0.54</v>
      </c>
      <c r="R274" s="223"/>
      <c r="S274" s="197">
        <f t="shared" si="42"/>
        <v>-0.54</v>
      </c>
      <c r="T274" s="178"/>
      <c r="U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38"/>
        <v>CarrosserieUniformes</v>
      </c>
      <c r="B275" s="24" t="s">
        <v>163</v>
      </c>
      <c r="C275" s="267" t="s">
        <v>125</v>
      </c>
      <c r="D275" s="249"/>
      <c r="E275" s="178"/>
      <c r="F275" s="179">
        <f>+INDEX('Budget original'!$A$2:$AO$501,MATCH($A275,'Budget original'!$A$2:$A$501,0),MATCH(F$2,'Budget original'!$A$2:$AO$2,0))</f>
        <v>0</v>
      </c>
      <c r="G275" s="269"/>
      <c r="H275" s="178"/>
      <c r="I275" s="179"/>
      <c r="J275" s="223"/>
      <c r="K275" s="178"/>
      <c r="L275" s="180">
        <f>SUMIFS(BV_Data_An_Cour!$O:$O,BV_Data_An_Cour!$U:$U,$B275,BV_Data_An_Cour!$V:$V,$C275,BV_Data_An_Cour!$W:$W,$L$2)</f>
        <v>0</v>
      </c>
      <c r="M275" s="223"/>
      <c r="N275" s="225">
        <f t="shared" si="40"/>
        <v>0</v>
      </c>
      <c r="O275" s="223"/>
      <c r="P275" s="178"/>
      <c r="Q275" s="180">
        <f t="array" ref="Q275">+INDEX('Réel 2024'!$A$2:$AO$501,MATCH($A275,'Réel 2024'!$A$2:$A$501,0),MATCH(Q$2,'Réel 2024'!$A$2:$AO$2,0))</f>
        <v>0</v>
      </c>
      <c r="R275" s="223"/>
      <c r="S275" s="197">
        <f t="shared" si="42"/>
        <v>0</v>
      </c>
      <c r="T275" s="178"/>
      <c r="U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38"/>
        <v>CarrosseriePapeterie</v>
      </c>
      <c r="B276" s="24" t="s">
        <v>163</v>
      </c>
      <c r="C276" s="267" t="s">
        <v>126</v>
      </c>
      <c r="D276" s="249"/>
      <c r="E276" s="178"/>
      <c r="F276" s="179">
        <f>+INDEX('Budget original'!$A$2:$AO$501,MATCH($A276,'Budget original'!$A$2:$A$501,0),MATCH(F$2,'Budget original'!$A$2:$AO$2,0))</f>
        <v>0</v>
      </c>
      <c r="G276" s="269"/>
      <c r="H276" s="178"/>
      <c r="I276" s="179"/>
      <c r="J276" s="223"/>
      <c r="K276" s="178"/>
      <c r="L276" s="473">
        <f>SUMIFS(BV_Data_An_Cour!$O:$O,BV_Data_An_Cour!$U:$U,$B276,BV_Data_An_Cour!$V:$V,$C276,BV_Data_An_Cour!$W:$W,$L$2)</f>
        <v>0</v>
      </c>
      <c r="M276" s="223"/>
      <c r="N276" s="225">
        <f t="shared" si="40"/>
        <v>0</v>
      </c>
      <c r="O276" s="223"/>
      <c r="P276" s="178"/>
      <c r="Q276" s="473">
        <f t="array" ref="Q276">+INDEX('Réel 2024'!$A$2:$AO$501,MATCH($A276,'Réel 2024'!$A$2:$A$501,0),MATCH(Q$2,'Réel 2024'!$A$2:$AO$2,0))</f>
        <v>26.85</v>
      </c>
      <c r="R276" s="223"/>
      <c r="S276" s="197">
        <f t="shared" si="42"/>
        <v>-26.85</v>
      </c>
      <c r="T276" s="25"/>
      <c r="U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8"/>
        <v>CarrosserieTéléphone</v>
      </c>
      <c r="B277" s="24" t="s">
        <v>163</v>
      </c>
      <c r="C277" s="267" t="s">
        <v>127</v>
      </c>
      <c r="D277" s="249"/>
      <c r="E277" s="178"/>
      <c r="F277" s="179">
        <f>+INDEX('Budget original'!$A$2:$AO$501,MATCH($A277,'Budget original'!$A$2:$A$501,0),MATCH(F$2,'Budget original'!$A$2:$AO$2,0))</f>
        <v>0</v>
      </c>
      <c r="G277" s="269"/>
      <c r="H277" s="178"/>
      <c r="I277" s="179"/>
      <c r="J277" s="223"/>
      <c r="K277" s="178"/>
      <c r="L277" s="180">
        <f>SUMIFS(BV_Data_An_Cour!$O:$O,BV_Data_An_Cour!$U:$U,$B277,BV_Data_An_Cour!$V:$V,$C277,BV_Data_An_Cour!$W:$W,$L$2)</f>
        <v>0</v>
      </c>
      <c r="M277" s="223"/>
      <c r="N277" s="225">
        <f t="shared" si="40"/>
        <v>0</v>
      </c>
      <c r="O277" s="223"/>
      <c r="P277" s="178"/>
      <c r="Q277" s="180">
        <f t="array" ref="Q277">+INDEX('Réel 2024'!$A$2:$AO$501,MATCH($A277,'Réel 2024'!$A$2:$A$501,0),MATCH(Q$2,'Réel 2024'!$A$2:$AO$2,0))</f>
        <v>8.1300000000000008</v>
      </c>
      <c r="R277" s="223"/>
      <c r="S277" s="197">
        <f t="shared" si="42"/>
        <v>-8.1300000000000008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8"/>
        <v>CarrosserieFrais postaux</v>
      </c>
      <c r="B278" s="24" t="s">
        <v>163</v>
      </c>
      <c r="C278" s="267" t="s">
        <v>128</v>
      </c>
      <c r="D278" s="249"/>
      <c r="E278" s="178"/>
      <c r="F278" s="179">
        <f>+INDEX('Budget original'!$A$2:$AO$501,MATCH($A278,'Budget original'!$A$2:$A$501,0),MATCH(F$2,'Budget original'!$A$2:$AO$2,0))</f>
        <v>0</v>
      </c>
      <c r="G278" s="269"/>
      <c r="H278" s="178"/>
      <c r="I278" s="179"/>
      <c r="J278" s="223"/>
      <c r="K278" s="178"/>
      <c r="L278" s="180">
        <f>SUMIFS(BV_Data_An_Cour!$O:$O,BV_Data_An_Cour!$U:$U,$B278,BV_Data_An_Cour!$V:$V,$C278,BV_Data_An_Cour!$W:$W,$L$2)</f>
        <v>0</v>
      </c>
      <c r="M278" s="223"/>
      <c r="N278" s="225">
        <f t="shared" si="40"/>
        <v>0</v>
      </c>
      <c r="O278" s="223"/>
      <c r="P278" s="178"/>
      <c r="Q278" s="180">
        <f t="array" ref="Q278">+INDEX('Réel 2024'!$A$2:$AO$501,MATCH($A278,'Réel 2024'!$A$2:$A$501,0),MATCH(Q$2,'Réel 2024'!$A$2:$AO$2,0))</f>
        <v>4.2699999999999996</v>
      </c>
      <c r="R278" s="223"/>
      <c r="S278" s="197">
        <f t="shared" si="42"/>
        <v>-4.2699999999999996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8"/>
        <v>CarrosserieDivers</v>
      </c>
      <c r="B279" s="24" t="s">
        <v>163</v>
      </c>
      <c r="C279" s="267" t="s">
        <v>129</v>
      </c>
      <c r="D279" s="249"/>
      <c r="E279" s="178"/>
      <c r="F279" s="179">
        <f>+INDEX('Budget original'!$A$2:$AO$501,MATCH($A279,'Budget original'!$A$2:$A$501,0),MATCH(F$2,'Budget original'!$A$2:$AO$2,0))</f>
        <v>0</v>
      </c>
      <c r="G279" s="269"/>
      <c r="H279" s="178"/>
      <c r="I279" s="179"/>
      <c r="J279" s="223"/>
      <c r="K279" s="178"/>
      <c r="L279" s="180">
        <f>SUMIFS(BV_Data_An_Cour!$O:$O,BV_Data_An_Cour!$U:$U,$B279,BV_Data_An_Cour!$V:$V,$C279,BV_Data_An_Cour!$W:$W,$L$2)</f>
        <v>0</v>
      </c>
      <c r="M279" s="223"/>
      <c r="N279" s="225">
        <f t="shared" si="40"/>
        <v>0</v>
      </c>
      <c r="O279" s="223"/>
      <c r="P279" s="178"/>
      <c r="Q279" s="180">
        <f t="array" ref="Q279">+INDEX('Réel 2024'!$A$2:$AO$501,MATCH($A279,'Réel 2024'!$A$2:$A$501,0),MATCH(Q$2,'Réel 2024'!$A$2:$AO$2,0))</f>
        <v>35.51</v>
      </c>
      <c r="R279" s="223"/>
      <c r="S279" s="197">
        <f t="shared" si="42"/>
        <v>-35.51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8"/>
        <v>CarrosserieFormation</v>
      </c>
      <c r="B280" s="24" t="s">
        <v>163</v>
      </c>
      <c r="C280" s="267" t="s">
        <v>130</v>
      </c>
      <c r="D280" s="249"/>
      <c r="E280" s="178"/>
      <c r="F280" s="179">
        <f>+INDEX('Budget original'!$A$2:$AO$501,MATCH($A280,'Budget original'!$A$2:$A$501,0),MATCH(F$2,'Budget original'!$A$2:$AO$2,0))</f>
        <v>0</v>
      </c>
      <c r="G280" s="269"/>
      <c r="H280" s="178"/>
      <c r="I280" s="179"/>
      <c r="J280" s="223"/>
      <c r="K280" s="178"/>
      <c r="L280" s="180">
        <f>SUMIFS(BV_Data_An_Cour!$O:$O,BV_Data_An_Cour!$U:$U,$B280,BV_Data_An_Cour!$V:$V,$C280,BV_Data_An_Cour!$W:$W,$L$2)</f>
        <v>0</v>
      </c>
      <c r="M280" s="223"/>
      <c r="N280" s="225">
        <f t="shared" si="40"/>
        <v>0</v>
      </c>
      <c r="O280" s="223"/>
      <c r="P280" s="178"/>
      <c r="Q280" s="180">
        <f t="array" ref="Q280">+INDEX('Réel 2024'!$A$2:$AO$501,MATCH($A280,'Réel 2024'!$A$2:$A$501,0),MATCH(Q$2,'Réel 2024'!$A$2:$AO$2,0))</f>
        <v>89.83</v>
      </c>
      <c r="R280" s="223"/>
      <c r="S280" s="197">
        <f t="shared" si="42"/>
        <v>-89.83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8"/>
        <v>CarrosserieFrais bancaires</v>
      </c>
      <c r="B281" s="24" t="s">
        <v>163</v>
      </c>
      <c r="C281" s="267" t="s">
        <v>131</v>
      </c>
      <c r="D281" s="249"/>
      <c r="E281" s="178"/>
      <c r="F281" s="179">
        <f>+INDEX('Budget original'!$A$2:$AO$501,MATCH($A281,'Budget original'!$A$2:$A$501,0),MATCH(F$2,'Budget original'!$A$2:$AO$2,0))</f>
        <v>0</v>
      </c>
      <c r="G281" s="269"/>
      <c r="H281" s="178"/>
      <c r="I281" s="179"/>
      <c r="J281" s="223"/>
      <c r="K281" s="178"/>
      <c r="L281" s="180">
        <f>SUMIFS(BV_Data_An_Cour!$O:$O,BV_Data_An_Cour!$U:$U,$B281,BV_Data_An_Cour!$V:$V,$C281,BV_Data_An_Cour!$W:$W,$L$2)</f>
        <v>0</v>
      </c>
      <c r="M281" s="223"/>
      <c r="N281" s="225">
        <f t="shared" si="40"/>
        <v>0</v>
      </c>
      <c r="O281" s="223"/>
      <c r="P281" s="178"/>
      <c r="Q281" s="180">
        <f t="array" ref="Q281">+INDEX('Réel 2024'!$A$2:$AO$501,MATCH($A281,'Réel 2024'!$A$2:$A$501,0),MATCH(Q$2,'Réel 2024'!$A$2:$AO$2,0))</f>
        <v>4.5199999999999996</v>
      </c>
      <c r="R281" s="223"/>
      <c r="S281" s="197">
        <f t="shared" si="42"/>
        <v>-4.5199999999999996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8"/>
        <v>Carrosserie[...]</v>
      </c>
      <c r="B282" s="24" t="s">
        <v>163</v>
      </c>
      <c r="C282" s="267" t="s">
        <v>42</v>
      </c>
      <c r="D282" s="249"/>
      <c r="E282" s="178"/>
      <c r="F282" s="179">
        <f>+INDEX('Budget original'!$A$2:$AO$501,MATCH($A282,'Budget original'!$A$2:$A$501,0),MATCH(F$2,'Budget original'!$A$2:$AO$2,0))</f>
        <v>0</v>
      </c>
      <c r="G282" s="269"/>
      <c r="H282" s="178"/>
      <c r="I282" s="179"/>
      <c r="J282" s="223"/>
      <c r="K282" s="178"/>
      <c r="L282" s="180">
        <f>SUMIFS(BV_Data_An_Cour!$O:$O,BV_Data_An_Cour!$U:$U,$B282,BV_Data_An_Cour!$V:$V,$C282,BV_Data_An_Cour!$W:$W,$L$2)</f>
        <v>0</v>
      </c>
      <c r="M282" s="223"/>
      <c r="N282" s="225">
        <f t="shared" si="40"/>
        <v>0</v>
      </c>
      <c r="O282" s="223"/>
      <c r="P282" s="178"/>
      <c r="Q282" s="180">
        <f t="array" ref="Q282">+INDEX('Réel 2024'!$A$2:$AO$501,MATCH($A282,'Réel 2024'!$A$2:$A$501,0),MATCH(Q$2,'Réel 2024'!$A$2:$AO$2,0))</f>
        <v>0</v>
      </c>
      <c r="R282" s="223"/>
      <c r="S282" s="197">
        <f t="shared" si="42"/>
        <v>0</v>
      </c>
      <c r="T282" s="178"/>
      <c r="U282" s="178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>
        <f>+INDEX('Budget original'!$A$2:$AO$501,MATCH($A283,'Budget original'!$A$2:$A$501,0),MATCH(F$2,'Budget original'!$A$2:$AO$2,0))</f>
        <v>0</v>
      </c>
      <c r="G283" s="269"/>
      <c r="H283" s="178"/>
      <c r="I283" s="179"/>
      <c r="J283" s="223"/>
      <c r="K283" s="178"/>
      <c r="L283" s="180">
        <f>SUMIFS(BV_Data_An_Cour!$O:$O,BV_Data_An_Cour!$U:$U,$B283,BV_Data_An_Cour!$V:$V,$C283,BV_Data_An_Cour!$W:$W,$L$2)</f>
        <v>0</v>
      </c>
      <c r="M283" s="223"/>
      <c r="N283" s="225">
        <f t="shared" si="40"/>
        <v>0</v>
      </c>
      <c r="O283" s="223"/>
      <c r="P283" s="178"/>
      <c r="Q283" s="180">
        <f t="array" ref="Q283">+INDEX('Réel 2024'!$A$2:$AO$501,MATCH($A283,'Réel 2024'!$A$2:$A$501,0),MATCH(Q$2,'Réel 2024'!$A$2:$AO$2,0))</f>
        <v>0</v>
      </c>
      <c r="R283" s="223"/>
      <c r="S283" s="197">
        <f>L283-Q283</f>
        <v>0</v>
      </c>
      <c r="T283" s="178"/>
      <c r="U283" s="178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8"/>
        <v>Carrosserie[...]</v>
      </c>
      <c r="B284" s="24" t="s">
        <v>163</v>
      </c>
      <c r="C284" s="267" t="s">
        <v>42</v>
      </c>
      <c r="D284" s="249"/>
      <c r="E284" s="178"/>
      <c r="F284" s="179">
        <f>+INDEX('Budget original'!$A$2:$AO$501,MATCH($A284,'Budget original'!$A$2:$A$501,0),MATCH(F$2,'Budget original'!$A$2:$AO$2,0))</f>
        <v>0</v>
      </c>
      <c r="G284" s="269"/>
      <c r="H284" s="178"/>
      <c r="I284" s="179"/>
      <c r="J284" s="223"/>
      <c r="K284" s="178"/>
      <c r="L284" s="180">
        <f>SUMIFS(BV_Data_An_Cour!$O:$O,BV_Data_An_Cour!$U:$U,$B284,BV_Data_An_Cour!$V:$V,$C284,BV_Data_An_Cour!$W:$W,$L$2)</f>
        <v>0</v>
      </c>
      <c r="M284" s="223"/>
      <c r="N284" s="225">
        <f t="shared" si="40"/>
        <v>0</v>
      </c>
      <c r="O284" s="223"/>
      <c r="P284" s="178"/>
      <c r="Q284" s="180">
        <f t="array" ref="Q284">+INDEX('Réel 2024'!$A$2:$AO$501,MATCH($A284,'Réel 2024'!$A$2:$A$501,0),MATCH(Q$2,'Réel 2024'!$A$2:$AO$2,0))</f>
        <v>0</v>
      </c>
      <c r="R284" s="223"/>
      <c r="S284" s="197">
        <f t="shared" si="42"/>
        <v>0</v>
      </c>
      <c r="T284" s="178"/>
      <c r="U284" s="178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650.34000000000015</v>
      </c>
      <c r="R285" s="44"/>
      <c r="S285" s="285">
        <f>L285-Q285</f>
        <v>-650.34000000000015</v>
      </c>
      <c r="T285" s="233"/>
      <c r="U285" s="178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1631.7900000000002</v>
      </c>
      <c r="R287" s="44"/>
      <c r="S287" s="281">
        <f>L287-Q287</f>
        <v>-1631.7900000000002</v>
      </c>
      <c r="T287" s="233"/>
      <c r="U287" s="178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-1530.0900000000013</v>
      </c>
      <c r="R289" s="308"/>
      <c r="S289" s="310">
        <f>L289-Q289</f>
        <v>1530.0900000000013</v>
      </c>
      <c r="T289" s="233"/>
      <c r="U289" s="178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2025</v>
      </c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79" t="s">
        <v>77</v>
      </c>
      <c r="E293" s="1280"/>
      <c r="F293" s="1281"/>
      <c r="G293" s="1284"/>
      <c r="H293" s="1280"/>
      <c r="I293" s="1281"/>
      <c r="J293" s="1284" t="s">
        <v>78</v>
      </c>
      <c r="K293" s="1280"/>
      <c r="L293" s="1281"/>
      <c r="M293" s="1284" t="s">
        <v>2442</v>
      </c>
      <c r="N293" s="1281"/>
      <c r="O293" s="1279" t="s">
        <v>79</v>
      </c>
      <c r="P293" s="1280"/>
      <c r="Q293" s="1281"/>
      <c r="R293" s="1282" t="s">
        <v>2446</v>
      </c>
      <c r="S293" s="128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3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2444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3"/>
        <v>PiècesPièces Ro Clients</v>
      </c>
      <c r="B295" s="24" t="s">
        <v>167</v>
      </c>
      <c r="C295" s="251" t="s">
        <v>169</v>
      </c>
      <c r="D295" s="195">
        <f>+INDEX('Budget original'!$A$2:$AO$501,MATCH($A295,'Budget original'!$A$2:$A$501,0),MATCH(D$2,'Budget original'!$A$2:$AO$2,0))</f>
        <v>46487.316997401977</v>
      </c>
      <c r="E295" s="208">
        <f>IF(D295=0,0,F295/D295)</f>
        <v>0.41000000000000003</v>
      </c>
      <c r="F295" s="197">
        <f>+INDEX('Budget original'!$A$2:$AO$501,MATCH($A295,'Budget original'!$A$2:$A$501,0),MATCH(F$2,'Budget original'!$A$2:$AO$2,0))</f>
        <v>19059.799968934811</v>
      </c>
      <c r="G295" s="195"/>
      <c r="H295" s="208"/>
      <c r="I295" s="197"/>
      <c r="J295" s="179">
        <f>-SUMIFS(BV_Data_An_Cour!$O:$O,BV_Data_An_Cour!$X:$X,"Oui",BV_Data_An_Cour!$U:$U,$B295,BV_Data_An_Cour!$V:$V,$C295)</f>
        <v>47664.43</v>
      </c>
      <c r="K295" s="208">
        <f t="shared" ref="K295:K300" si="44">IF(J295&lt;=0,0,L295/J295)</f>
        <v>0.42656903691075293</v>
      </c>
      <c r="L295" s="180">
        <f>-SUMIFS(BV_Data_An_Cour!$O:$O,BV_Data_An_Cour!$U:$U,$B295,BV_Data_An_Cour!$V:$V,$C295,BV_Data_An_Cour!$W:$W,$L$2)</f>
        <v>20332.169999999998</v>
      </c>
      <c r="M295" s="293">
        <f t="shared" ref="M295:M301" si="45">(+J295-D295)/D295</f>
        <v>2.5321164537497588E-2</v>
      </c>
      <c r="N295" s="225">
        <f t="shared" ref="N295:N304" si="46">L295-F295</f>
        <v>1272.3700310651875</v>
      </c>
      <c r="O295" s="179">
        <f t="array" ref="O295">+INDEX('Réel 2024'!$A$2:$AO$501,MATCH($A295,'Réel 2024'!$A$2:$A$501,0),MATCH(O$2,'Réel 2024'!$A$2:$AO$2,0))</f>
        <v>33417.71</v>
      </c>
      <c r="P295" s="208">
        <f t="shared" ref="P295:P303" si="47">IF(O295=0,0,Q295/O295)</f>
        <v>0.42927447751506315</v>
      </c>
      <c r="Q295" s="180">
        <f t="array" ref="Q295">+INDEX('Réel 2024'!$A$2:$AO$501,MATCH($A295,'Réel 2024'!$A$2:$A$501,0),MATCH(Q$2,'Réel 2024'!$A$2:$AO$2,0))</f>
        <v>14345.369999999901</v>
      </c>
      <c r="R295" s="293">
        <f>IF(O295=0,0,(J295-O295)/O295)</f>
        <v>0.42632244998235969</v>
      </c>
      <c r="S295" s="197">
        <f t="shared" ref="S295:S300" si="48">L295-Q295</f>
        <v>5986.8000000000975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3"/>
        <v>PiècesPièces Ro Carrosserie</v>
      </c>
      <c r="B296" s="24" t="s">
        <v>167</v>
      </c>
      <c r="C296" s="251" t="s">
        <v>170</v>
      </c>
      <c r="D296" s="195">
        <f>+INDEX('Budget original'!$A$2:$AO$501,MATCH($A296,'Budget original'!$A$2:$A$501,0),MATCH(D$2,'Budget original'!$A$2:$AO$2,0))</f>
        <v>0</v>
      </c>
      <c r="E296" s="208">
        <f t="shared" ref="E296:E303" si="49">IF(D296=0,0,F296/D296)</f>
        <v>0</v>
      </c>
      <c r="F296" s="197">
        <f>+INDEX('Budget original'!$A$2:$AO$501,MATCH($A296,'Budget original'!$A$2:$A$501,0),MATCH(F$2,'Budget original'!$A$2:$AO$2,0))</f>
        <v>0</v>
      </c>
      <c r="G296" s="195"/>
      <c r="H296" s="208"/>
      <c r="I296" s="197"/>
      <c r="J296" s="179">
        <f>-SUMIFS(BV_Data_An_Cour!$O:$O,BV_Data_An_Cour!$X:$X,"Oui",BV_Data_An_Cour!$U:$U,$B296,BV_Data_An_Cour!$V:$V,$C296)</f>
        <v>0</v>
      </c>
      <c r="K296" s="208">
        <f t="shared" si="44"/>
        <v>0</v>
      </c>
      <c r="L296" s="180">
        <f>-SUMIFS(BV_Data_An_Cour!$O:$O,BV_Data_An_Cour!$U:$U,$B296,BV_Data_An_Cour!$V:$V,$C296,BV_Data_An_Cour!$W:$W,$L$2)</f>
        <v>0</v>
      </c>
      <c r="M296" s="293" t="e">
        <f t="shared" si="45"/>
        <v>#DIV/0!</v>
      </c>
      <c r="N296" s="225">
        <f t="shared" si="46"/>
        <v>0</v>
      </c>
      <c r="O296" s="179">
        <f t="array" ref="O296">+INDEX('Réel 2024'!$A$2:$AO$501,MATCH($A296,'Réel 2024'!$A$2:$A$501,0),MATCH(O$2,'Réel 2024'!$A$2:$AO$2,0))</f>
        <v>0</v>
      </c>
      <c r="P296" s="208">
        <f t="shared" si="47"/>
        <v>0</v>
      </c>
      <c r="Q296" s="180">
        <f t="array" ref="Q296">+INDEX('Réel 2024'!$A$2:$AO$501,MATCH($A296,'Réel 2024'!$A$2:$A$501,0),MATCH(Q$2,'Réel 2024'!$A$2:$AO$2,0))</f>
        <v>0</v>
      </c>
      <c r="R296" s="293">
        <f t="shared" ref="R296:R303" si="50">IF(O296=0,0,(J296-O296)/O296)</f>
        <v>0</v>
      </c>
      <c r="S296" s="197">
        <f t="shared" si="48"/>
        <v>0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3"/>
        <v>PiècesP/A Garantie</v>
      </c>
      <c r="B297" s="24" t="s">
        <v>167</v>
      </c>
      <c r="C297" s="251" t="s">
        <v>171</v>
      </c>
      <c r="D297" s="195">
        <f>+INDEX('Budget original'!$A$2:$AO$501,MATCH($A297,'Budget original'!$A$2:$A$501,0),MATCH(D$2,'Budget original'!$A$2:$AO$2,0))</f>
        <v>39488.844264590873</v>
      </c>
      <c r="E297" s="208">
        <f t="shared" si="49"/>
        <v>0.28499999999999998</v>
      </c>
      <c r="F297" s="197">
        <f>+INDEX('Budget original'!$A$2:$AO$501,MATCH($A297,'Budget original'!$A$2:$A$501,0),MATCH(F$2,'Budget original'!$A$2:$AO$2,0))</f>
        <v>11254.320615408398</v>
      </c>
      <c r="G297" s="195"/>
      <c r="H297" s="208"/>
      <c r="I297" s="197"/>
      <c r="J297" s="179">
        <f>-SUMIFS(BV_Data_An_Cour!$O:$O,BV_Data_An_Cour!$X:$X,"Oui",BV_Data_An_Cour!$U:$U,$B297,BV_Data_An_Cour!$V:$V,$C297)</f>
        <v>26379.730000000003</v>
      </c>
      <c r="K297" s="208">
        <f t="shared" si="44"/>
        <v>0.28704274077103925</v>
      </c>
      <c r="L297" s="180">
        <f>-SUMIFS(BV_Data_An_Cour!$O:$O,BV_Data_An_Cour!$U:$U,$B297,BV_Data_An_Cour!$V:$V,$C297,BV_Data_An_Cour!$W:$W,$L$2)</f>
        <v>7572.1100000000079</v>
      </c>
      <c r="M297" s="293">
        <f t="shared" si="45"/>
        <v>-0.3319700667042727</v>
      </c>
      <c r="N297" s="225">
        <f t="shared" si="46"/>
        <v>-3682.2106154083904</v>
      </c>
      <c r="O297" s="179">
        <f t="array" ref="O297">+INDEX('Réel 2024'!$A$2:$AO$501,MATCH($A297,'Réel 2024'!$A$2:$A$501,0),MATCH(O$2,'Réel 2024'!$A$2:$AO$2,0))</f>
        <v>57248.619999999901</v>
      </c>
      <c r="P297" s="208">
        <f t="shared" si="47"/>
        <v>0.28436999878774244</v>
      </c>
      <c r="Q297" s="180">
        <f t="array" ref="Q297">+INDEX('Réel 2024'!$A$2:$AO$501,MATCH($A297,'Réel 2024'!$A$2:$A$501,0),MATCH(Q$2,'Réel 2024'!$A$2:$AO$2,0))</f>
        <v>16279.789999999901</v>
      </c>
      <c r="R297" s="293">
        <f t="shared" si="50"/>
        <v>-0.53920758264565938</v>
      </c>
      <c r="S297" s="197">
        <f t="shared" si="48"/>
        <v>-8707.679999999893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3"/>
        <v>PiècesVentes Internes</v>
      </c>
      <c r="B298" s="24" t="s">
        <v>167</v>
      </c>
      <c r="C298" s="251" t="s">
        <v>172</v>
      </c>
      <c r="D298" s="195">
        <f>+INDEX('Budget original'!$A$2:$AO$501,MATCH($A298,'Budget original'!$A$2:$A$501,0),MATCH(D$2,'Budget original'!$A$2:$AO$2,0))</f>
        <v>20464.717416141451</v>
      </c>
      <c r="E298" s="208">
        <f t="shared" si="49"/>
        <v>0.35</v>
      </c>
      <c r="F298" s="197">
        <f>+INDEX('Budget original'!$A$2:$AO$501,MATCH($A298,'Budget original'!$A$2:$A$501,0),MATCH(F$2,'Budget original'!$A$2:$AO$2,0))</f>
        <v>7162.6510956495076</v>
      </c>
      <c r="G298" s="195"/>
      <c r="H298" s="208"/>
      <c r="I298" s="197"/>
      <c r="J298" s="179">
        <f>-SUMIFS(BV_Data_An_Cour!$O:$O,BV_Data_An_Cour!$X:$X,"Oui",BV_Data_An_Cour!$U:$U,$B298,BV_Data_An_Cour!$V:$V,$C298)</f>
        <v>14139.380000000001</v>
      </c>
      <c r="K298" s="208">
        <f t="shared" si="44"/>
        <v>0.2701172187182182</v>
      </c>
      <c r="L298" s="180">
        <f>-SUMIFS(BV_Data_An_Cour!$O:$O,BV_Data_An_Cour!$U:$U,$B298,BV_Data_An_Cour!$V:$V,$C298,BV_Data_An_Cour!$W:$W,$L$2)</f>
        <v>3819.2900000000004</v>
      </c>
      <c r="M298" s="293">
        <f t="shared" si="45"/>
        <v>-0.30908501141346667</v>
      </c>
      <c r="N298" s="225">
        <f t="shared" si="46"/>
        <v>-3343.3610956495072</v>
      </c>
      <c r="O298" s="179">
        <f t="array" ref="O298">+INDEX('Réel 2024'!$A$2:$AO$501,MATCH($A298,'Réel 2024'!$A$2:$A$501,0),MATCH(O$2,'Réel 2024'!$A$2:$AO$2,0))</f>
        <v>23297.47</v>
      </c>
      <c r="P298" s="208">
        <f t="shared" si="47"/>
        <v>0.37471150300869577</v>
      </c>
      <c r="Q298" s="180">
        <f t="array" ref="Q298">+INDEX('Réel 2024'!$A$2:$AO$501,MATCH($A298,'Réel 2024'!$A$2:$A$501,0),MATCH(Q$2,'Réel 2024'!$A$2:$AO$2,0))</f>
        <v>8729.83</v>
      </c>
      <c r="R298" s="293">
        <f t="shared" si="50"/>
        <v>-0.39309375653236167</v>
      </c>
      <c r="S298" s="197">
        <f t="shared" si="48"/>
        <v>-4910.5399999999991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3"/>
        <v>PiècesVentes Détails</v>
      </c>
      <c r="B299" s="24" t="s">
        <v>167</v>
      </c>
      <c r="C299" s="251" t="s">
        <v>173</v>
      </c>
      <c r="D299" s="195">
        <f>+INDEX('Budget original'!$A$2:$AO$501,MATCH($A299,'Budget original'!$A$2:$A$501,0),MATCH(D$2,'Budget original'!$A$2:$AO$2,0))</f>
        <v>17818.482822385668</v>
      </c>
      <c r="E299" s="208">
        <f t="shared" si="49"/>
        <v>0.3</v>
      </c>
      <c r="F299" s="197">
        <f>+INDEX('Budget original'!$A$2:$AO$501,MATCH($A299,'Budget original'!$A$2:$A$501,0),MATCH(F$2,'Budget original'!$A$2:$AO$2,0))</f>
        <v>5345.5448467157003</v>
      </c>
      <c r="G299" s="195"/>
      <c r="H299" s="208"/>
      <c r="I299" s="197"/>
      <c r="J299" s="179">
        <f>-SUMIFS(BV_Data_An_Cour!$O:$O,BV_Data_An_Cour!$X:$X,"Oui",BV_Data_An_Cour!$U:$U,$B299,BV_Data_An_Cour!$V:$V,$C299)</f>
        <v>13877.710000000001</v>
      </c>
      <c r="K299" s="208">
        <f t="shared" si="44"/>
        <v>0.30979750981970378</v>
      </c>
      <c r="L299" s="180">
        <f>-SUMIFS(BV_Data_An_Cour!$O:$O,BV_Data_An_Cour!$U:$U,$B299,BV_Data_An_Cour!$V:$V,$C299,BV_Data_An_Cour!$W:$W,$L$2)</f>
        <v>4299.2800000000016</v>
      </c>
      <c r="M299" s="293">
        <f t="shared" si="45"/>
        <v>-0.2211620855528062</v>
      </c>
      <c r="N299" s="225">
        <f t="shared" si="46"/>
        <v>-1046.2648467156987</v>
      </c>
      <c r="O299" s="179">
        <f t="array" ref="O299">+INDEX('Réel 2024'!$A$2:$AO$501,MATCH($A299,'Réel 2024'!$A$2:$A$501,0),MATCH(O$2,'Réel 2024'!$A$2:$AO$2,0))</f>
        <v>18825.169999999998</v>
      </c>
      <c r="P299" s="208">
        <f t="shared" si="47"/>
        <v>0.30107829039525225</v>
      </c>
      <c r="Q299" s="180">
        <f t="array" ref="Q299">+INDEX('Réel 2024'!$A$2:$AO$501,MATCH($A299,'Réel 2024'!$A$2:$A$501,0),MATCH(Q$2,'Réel 2024'!$A$2:$AO$2,0))</f>
        <v>5667.8499999999904</v>
      </c>
      <c r="R299" s="293">
        <f t="shared" si="50"/>
        <v>-0.26281090688689651</v>
      </c>
      <c r="S299" s="197">
        <f t="shared" si="48"/>
        <v>-1368.5699999999888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>
        <f>+INDEX('Budget original'!$A$2:$AO$501,MATCH($A300,'Budget original'!$A$2:$A$501,0),MATCH(D$2,'Budget original'!$A$2:$AO$2,0))</f>
        <v>52086.308757231716</v>
      </c>
      <c r="E300" s="208">
        <f t="shared" si="49"/>
        <v>0.2</v>
      </c>
      <c r="F300" s="197">
        <f>+INDEX('Budget original'!$A$2:$AO$501,MATCH($A300,'Budget original'!$A$2:$A$501,0),MATCH(F$2,'Budget original'!$A$2:$AO$2,0))</f>
        <v>10417.261751446344</v>
      </c>
      <c r="G300" s="195"/>
      <c r="H300" s="208"/>
      <c r="I300" s="197"/>
      <c r="J300" s="179">
        <f>-SUMIFS(BV_Data_An_Cour!$O:$O,BV_Data_An_Cour!$X:$X,"Oui",BV_Data_An_Cour!$U:$U,$B300,BV_Data_An_Cour!$V:$V,$C300)</f>
        <v>47567.43</v>
      </c>
      <c r="K300" s="208">
        <f t="shared" si="44"/>
        <v>0.19492875692464365</v>
      </c>
      <c r="L300" s="180">
        <f>-SUMIFS(BV_Data_An_Cour!$O:$O,BV_Data_An_Cour!$U:$U,$B300,BV_Data_An_Cour!$V:$V,$C300,BV_Data_An_Cour!$W:$W,$L$2)</f>
        <v>9272.260000000002</v>
      </c>
      <c r="M300" s="293">
        <f t="shared" si="45"/>
        <v>-8.6757515843437646E-2</v>
      </c>
      <c r="N300" s="225">
        <f t="shared" si="46"/>
        <v>-1145.0017514463416</v>
      </c>
      <c r="O300" s="179">
        <f t="array" ref="O300">+INDEX('Réel 2024'!$A$2:$AO$501,MATCH($A300,'Réel 2024'!$A$2:$A$501,0),MATCH(O$2,'Réel 2024'!$A$2:$AO$2,0))</f>
        <v>33456.9</v>
      </c>
      <c r="P300" s="208">
        <f t="shared" si="47"/>
        <v>0.15631663423688386</v>
      </c>
      <c r="Q300" s="180">
        <f t="array" ref="Q300">+INDEX('Réel 2024'!$A$2:$AO$501,MATCH($A300,'Réel 2024'!$A$2:$A$501,0),MATCH(Q$2,'Réel 2024'!$A$2:$AO$2,0))</f>
        <v>5229.87</v>
      </c>
      <c r="R300" s="293">
        <f t="shared" si="50"/>
        <v>0.42175246361737034</v>
      </c>
      <c r="S300" s="197">
        <f t="shared" si="48"/>
        <v>4042.3900000000021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>
        <f>+INDEX('Budget original'!$A$2:$AO$501,MATCH($A301,'Budget original'!$A$2:$A$501,0),MATCH(D$2,'Budget original'!$A$2:$AO$2,0))</f>
        <v>0</v>
      </c>
      <c r="E301" s="208">
        <f>IF(D301=0,0,F301/D301)</f>
        <v>0</v>
      </c>
      <c r="F301" s="197">
        <f>+INDEX('Budget original'!$A$2:$AO$501,MATCH($A301,'Budget original'!$A$2:$A$501,0),MATCH(F$2,'Budget original'!$A$2:$AO$2,0))</f>
        <v>0</v>
      </c>
      <c r="G301" s="195"/>
      <c r="H301" s="208"/>
      <c r="I301" s="197"/>
      <c r="J301" s="179">
        <f>-SUMIFS(BV_Data_An_Cour!$O:$O,BV_Data_An_Cour!$X:$X,"Oui",BV_Data_An_Cour!$U:$U,$B301,BV_Data_An_Cour!$V:$V,$C301)</f>
        <v>0</v>
      </c>
      <c r="K301" s="208">
        <f>IF(J301&lt;=0,0,L301/J301)</f>
        <v>0</v>
      </c>
      <c r="L301" s="180">
        <f>-SUMIFS(BV_Data_An_Cour!$O:$O,BV_Data_An_Cour!$U:$U,$B301,BV_Data_An_Cour!$V:$V,$C301,BV_Data_An_Cour!$W:$W,$L$2)</f>
        <v>0</v>
      </c>
      <c r="M301" s="293" t="e">
        <f t="shared" si="45"/>
        <v>#DIV/0!</v>
      </c>
      <c r="N301" s="225">
        <f t="shared" si="46"/>
        <v>0</v>
      </c>
      <c r="O301" s="179">
        <f t="array" ref="O301">+INDEX('Réel 2024'!$A$2:$AO$501,MATCH($A301,'Réel 2024'!$A$2:$A$501,0),MATCH(O$2,'Réel 2024'!$A$2:$AO$2,0))</f>
        <v>0</v>
      </c>
      <c r="P301" s="208">
        <f t="shared" si="47"/>
        <v>0</v>
      </c>
      <c r="Q301" s="180">
        <f t="array" ref="Q301">+INDEX('Réel 2024'!$A$2:$AO$501,MATCH($A301,'Réel 2024'!$A$2:$A$501,0),MATCH(Q$2,'Réel 2024'!$A$2:$AO$2,0))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3"/>
        <v>PiècesEscomptes</v>
      </c>
      <c r="B302" s="24" t="s">
        <v>167</v>
      </c>
      <c r="C302" s="251" t="s">
        <v>175</v>
      </c>
      <c r="D302" s="195">
        <f>+INDEX('Budget original'!$A$2:$AO$501,MATCH($A302,'Budget original'!$A$2:$A$501,0),MATCH(D$2,'Budget original'!$A$2:$AO$2,0))</f>
        <v>0</v>
      </c>
      <c r="E302" s="208">
        <f t="shared" si="49"/>
        <v>0</v>
      </c>
      <c r="F302" s="197">
        <f>+INDEX('Budget original'!$A$2:$AO$501,MATCH($A302,'Budget original'!$A$2:$A$501,0),MATCH(F$2,'Budget original'!$A$2:$AO$2,0))</f>
        <v>4613.4060077090317</v>
      </c>
      <c r="G302" s="195"/>
      <c r="H302" s="208"/>
      <c r="I302" s="197"/>
      <c r="J302" s="179">
        <f>-SUMIFS(BV_Data_An_Cour!$O:$O,BV_Data_An_Cour!$X:$X,"Oui",BV_Data_An_Cour!$U:$U,$B302,BV_Data_An_Cour!$V:$V,$C302)</f>
        <v>0</v>
      </c>
      <c r="K302" s="208">
        <f>IF(J302&lt;=0,0,L302/J302)</f>
        <v>0</v>
      </c>
      <c r="L302" s="180">
        <f>-SUMIFS(BV_Data_An_Cour!$O:$O,BV_Data_An_Cour!$U:$U,$B302,BV_Data_An_Cour!$V:$V,$C302,BV_Data_An_Cour!$W:$W,$L$2)</f>
        <v>44.22</v>
      </c>
      <c r="M302" s="293"/>
      <c r="N302" s="225">
        <f t="shared" si="46"/>
        <v>-4569.1860077090314</v>
      </c>
      <c r="O302" s="179">
        <f t="array" ref="O302">+INDEX('Réel 2024'!$A$2:$AO$501,MATCH($A302,'Réel 2024'!$A$2:$A$501,0),MATCH(O$2,'Réel 2024'!$A$2:$AO$2,0))</f>
        <v>0</v>
      </c>
      <c r="P302" s="208">
        <f t="shared" si="47"/>
        <v>0</v>
      </c>
      <c r="Q302" s="180">
        <f t="array" ref="Q302">+INDEX('Réel 2024'!$A$2:$AO$501,MATCH($A302,'Réel 2024'!$A$2:$A$501,0),MATCH(Q$2,'Réel 2024'!$A$2:$AO$2,0))</f>
        <v>12689.56</v>
      </c>
      <c r="R302" s="293">
        <f t="shared" si="50"/>
        <v>0</v>
      </c>
      <c r="S302" s="197">
        <f>L302-Q302</f>
        <v>-12645.34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3"/>
        <v>PiècesRectif. Inventaire</v>
      </c>
      <c r="B303" s="24" t="s">
        <v>167</v>
      </c>
      <c r="C303" s="294" t="s">
        <v>176</v>
      </c>
      <c r="D303" s="195">
        <f>+INDEX('Budget original'!$A$2:$AO$501,MATCH($A303,'Budget original'!$A$2:$A$501,0),MATCH(D$2,'Budget original'!$A$2:$AO$2,0))</f>
        <v>0</v>
      </c>
      <c r="E303" s="208">
        <f t="shared" si="49"/>
        <v>0</v>
      </c>
      <c r="F303" s="197">
        <f>+INDEX('Budget original'!$A$2:$AO$501,MATCH($A303,'Budget original'!$A$2:$A$501,0),MATCH(F$2,'Budget original'!$A$2:$AO$2,0))</f>
        <v>0</v>
      </c>
      <c r="G303" s="195"/>
      <c r="H303" s="208"/>
      <c r="I303" s="197"/>
      <c r="J303" s="179">
        <f>-SUMIFS(BV_Data_An_Cour!$O:$O,BV_Data_An_Cour!$X:$X,"Oui",BV_Data_An_Cour!$U:$U,$B303,BV_Data_An_Cour!$V:$V,$C303)</f>
        <v>0</v>
      </c>
      <c r="K303" s="208">
        <f>IF(J303&lt;=0,0,L303/J303)</f>
        <v>0</v>
      </c>
      <c r="L303" s="180">
        <f>-SUMIFS(BV_Data_An_Cour!$O:$O,BV_Data_An_Cour!$U:$U,$B303,BV_Data_An_Cour!$V:$V,$C303,BV_Data_An_Cour!$W:$W,$L$2)</f>
        <v>0</v>
      </c>
      <c r="M303" s="293"/>
      <c r="N303" s="225">
        <f t="shared" si="46"/>
        <v>0</v>
      </c>
      <c r="O303" s="179">
        <f t="array" ref="O303">+INDEX('Réel 2024'!$A$2:$AO$501,MATCH($A303,'Réel 2024'!$A$2:$A$501,0),MATCH(O$2,'Réel 2024'!$A$2:$AO$2,0))</f>
        <v>0</v>
      </c>
      <c r="P303" s="208">
        <f t="shared" si="47"/>
        <v>0</v>
      </c>
      <c r="Q303" s="180">
        <f t="array" ref="Q303">+INDEX('Réel 2024'!$A$2:$AO$501,MATCH($A303,'Réel 2024'!$A$2:$A$501,0),MATCH(Q$2,'Réel 2024'!$A$2:$AO$2,0))</f>
        <v>9377.1</v>
      </c>
      <c r="R303" s="293">
        <f t="shared" si="50"/>
        <v>0</v>
      </c>
      <c r="S303" s="197">
        <f>L303-Q303</f>
        <v>-9377.1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3"/>
        <v>PiècesSous-total Pièces</v>
      </c>
      <c r="B304" s="24" t="s">
        <v>167</v>
      </c>
      <c r="C304" s="260" t="s">
        <v>177</v>
      </c>
      <c r="D304" s="196">
        <f>SUM(D295:D303)</f>
        <v>176345.67025775168</v>
      </c>
      <c r="E304" s="295">
        <f>IF(D304&lt;=0,0,F304/D304)</f>
        <v>0.32806580508216771</v>
      </c>
      <c r="F304" s="198">
        <f>SUM(F295:F303)</f>
        <v>57852.984285863786</v>
      </c>
      <c r="G304" s="196"/>
      <c r="H304" s="295"/>
      <c r="I304" s="198"/>
      <c r="J304" s="196">
        <f>SUM(J295:J303)</f>
        <v>149628.68000000002</v>
      </c>
      <c r="K304" s="295">
        <f>IF(J304&lt;=0,0,L304/J304)</f>
        <v>0.30301229684041858</v>
      </c>
      <c r="L304" s="221">
        <f>SUM(L295:L303)</f>
        <v>45339.330000000009</v>
      </c>
      <c r="M304" s="296">
        <f>(+J304-D304)/D304</f>
        <v>-0.15150352270459136</v>
      </c>
      <c r="N304" s="221">
        <f t="shared" si="46"/>
        <v>-12513.654285863777</v>
      </c>
      <c r="O304" s="196">
        <f>SUM(O295:O303)</f>
        <v>166245.86999999991</v>
      </c>
      <c r="P304" s="295">
        <f>IF(O304&lt;=0,0,Q304/O304)</f>
        <v>0.43501453600020157</v>
      </c>
      <c r="Q304" s="221">
        <f t="shared" ref="Q304" si="51">SUM(Q295:Q303)</f>
        <v>72319.369999999792</v>
      </c>
      <c r="R304" s="296">
        <f>IF(O304=0,0,(J304-O304)/O304)</f>
        <v>-9.9955505661583621E-2</v>
      </c>
      <c r="S304" s="198">
        <f>L304-Q304</f>
        <v>-26980.039999999783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3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-0.21630092968119283</v>
      </c>
      <c r="O305" s="223"/>
      <c r="P305" s="178"/>
      <c r="Q305" s="265"/>
      <c r="R305" s="223"/>
      <c r="S305" s="262">
        <f>IF(Q304=0,0,S304/Q304)</f>
        <v>-0.37306796229004568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3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3"/>
        <v>PiècesVentes Pneus</v>
      </c>
      <c r="B307" s="24" t="s">
        <v>167</v>
      </c>
      <c r="C307" s="251" t="s">
        <v>178</v>
      </c>
      <c r="D307" s="195">
        <f>+INDEX('Budget original'!$A$2:$AO$501,MATCH($A307,'Budget original'!$A$2:$A$501,0),MATCH(D$2,'Budget original'!$A$2:$AO$2,0))</f>
        <v>53071.95102089065</v>
      </c>
      <c r="E307" s="208">
        <f>IF(D307=0,0,F307/D307)</f>
        <v>0.24</v>
      </c>
      <c r="F307" s="199">
        <f>+INDEX('Budget original'!$A$2:$AO$501,MATCH($A307,'Budget original'!$A$2:$A$501,0),MATCH(F$2,'Budget original'!$A$2:$AO$2,0))</f>
        <v>12737.268245013756</v>
      </c>
      <c r="G307" s="195"/>
      <c r="H307" s="208"/>
      <c r="I307" s="199"/>
      <c r="J307" s="179">
        <f>-SUMIFS(BV_Data_An_Cour!$O:$O,BV_Data_An_Cour!$X:$X,"Oui",BV_Data_An_Cour!$U:$U,$B307,BV_Data_An_Cour!$V:$V,$C307)</f>
        <v>53238.36</v>
      </c>
      <c r="K307" s="208">
        <f>IF(J307&lt;=0,0,L307/J307)</f>
        <v>0.26193368841564613</v>
      </c>
      <c r="L307" s="180">
        <f>-SUMIFS(BV_Data_An_Cour!$O:$O,BV_Data_An_Cour!$U:$U,$B307,BV_Data_An_Cour!$V:$V,$C307,BV_Data_An_Cour!$W:$W,$L$2)</f>
        <v>13944.919999999998</v>
      </c>
      <c r="M307" s="293">
        <f>(+J307-D307)/D307</f>
        <v>3.1355353611147029E-3</v>
      </c>
      <c r="N307" s="225">
        <f>L307-F307</f>
        <v>1207.6517549862419</v>
      </c>
      <c r="O307" s="179">
        <f t="array" ref="O307">+INDEX('Réel 2024'!$A$2:$AO$501,MATCH($A307,'Réel 2024'!$A$2:$A$501,0),MATCH(O$2,'Réel 2024'!$A$2:$AO$2,0))</f>
        <v>62110.35</v>
      </c>
      <c r="P307" s="208">
        <f t="shared" ref="P307:P308" si="52">IF(O307=0,0,Q307/O307)</f>
        <v>0.24730451526999769</v>
      </c>
      <c r="Q307" s="180">
        <f t="array" ref="Q307">+INDEX('Réel 2024'!$A$2:$AO$501,MATCH($A307,'Réel 2024'!$A$2:$A$501,0),MATCH(Q$2,'Réel 2024'!$A$2:$AO$2,0))</f>
        <v>15360.1699999999</v>
      </c>
      <c r="R307" s="293">
        <f>IF(O307=0,0,(J307-O307)/O307)</f>
        <v>-0.14284237651212717</v>
      </c>
      <c r="S307" s="197">
        <f>L307-Q307</f>
        <v>-1415.2499999999018</v>
      </c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3"/>
        <v>PiècesHuiles et Graisse</v>
      </c>
      <c r="B308" s="24" t="s">
        <v>167</v>
      </c>
      <c r="C308" s="294" t="s">
        <v>179</v>
      </c>
      <c r="D308" s="195">
        <f>+INDEX('Budget original'!$A$2:$AO$501,MATCH($A308,'Budget original'!$A$2:$A$501,0),MATCH(D$2,'Budget original'!$A$2:$AO$2,0))</f>
        <v>9072.2607736356331</v>
      </c>
      <c r="E308" s="208">
        <f>IF(D308=0,0,F308/D308)</f>
        <v>0.34399999999999997</v>
      </c>
      <c r="F308" s="200">
        <f>+INDEX('Budget original'!$A$2:$AO$501,MATCH($A308,'Budget original'!$A$2:$A$501,0),MATCH(F$2,'Budget original'!$A$2:$AO$2,0))</f>
        <v>3120.8577061306573</v>
      </c>
      <c r="G308" s="195"/>
      <c r="H308" s="208"/>
      <c r="I308" s="200"/>
      <c r="J308" s="179">
        <f>-SUMIFS(BV_Data_An_Cour!$O:$O,BV_Data_An_Cour!$X:$X,"Oui",BV_Data_An_Cour!$U:$U,$B308,BV_Data_An_Cour!$V:$V,$C308)</f>
        <v>8105.07</v>
      </c>
      <c r="K308" s="208">
        <f>IF(J308&lt;=0,0,L308/J308)</f>
        <v>0.35429798878973284</v>
      </c>
      <c r="L308" s="180">
        <f>-SUMIFS(BV_Data_An_Cour!$O:$O,BV_Data_An_Cour!$U:$U,$B308,BV_Data_An_Cour!$V:$V,$C308,BV_Data_An_Cour!$W:$W,$L$2)</f>
        <v>2871.6099999999997</v>
      </c>
      <c r="M308" s="293">
        <f>(+J308-D308)/D308</f>
        <v>-0.10660967511497575</v>
      </c>
      <c r="N308" s="225">
        <f>L308-F308</f>
        <v>-249.24770613065766</v>
      </c>
      <c r="O308" s="179">
        <f t="array" ref="O308">+INDEX('Réel 2024'!$A$2:$AO$501,MATCH($A308,'Réel 2024'!$A$2:$A$501,0),MATCH(O$2,'Réel 2024'!$A$2:$AO$2,0))</f>
        <v>9127.43</v>
      </c>
      <c r="P308" s="208">
        <f t="shared" si="52"/>
        <v>0.35837798810837224</v>
      </c>
      <c r="Q308" s="180">
        <f t="array" ref="Q308">+INDEX('Réel 2024'!$A$2:$AO$501,MATCH($A308,'Réel 2024'!$A$2:$A$501,0),MATCH(Q$2,'Réel 2024'!$A$2:$AO$2,0))</f>
        <v>3271.07</v>
      </c>
      <c r="R308" s="293">
        <f>IF(O308=0,0,(J308-O308)/O308)</f>
        <v>-0.11200962373855516</v>
      </c>
      <c r="S308" s="197">
        <f>L308-Q308</f>
        <v>-399.46000000000049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3"/>
        <v>PiècesSous-total Pièces et Acc.</v>
      </c>
      <c r="B309" s="24" t="s">
        <v>167</v>
      </c>
      <c r="C309" s="260" t="s">
        <v>180</v>
      </c>
      <c r="D309" s="196">
        <f>D304+D307+D308</f>
        <v>238489.88205227797</v>
      </c>
      <c r="E309" s="295">
        <f>IF(D309&lt;=0,0,F309/D309)</f>
        <v>0.30907437079804673</v>
      </c>
      <c r="F309" s="221">
        <f>F304+F307+F308</f>
        <v>73711.110237008194</v>
      </c>
      <c r="G309" s="222"/>
      <c r="H309" s="295"/>
      <c r="I309" s="221"/>
      <c r="J309" s="222">
        <f>J304+J307+J308</f>
        <v>210972.11000000004</v>
      </c>
      <c r="K309" s="295">
        <f>IF(J309&lt;=0,0,L309/J309)</f>
        <v>0.2946164779790087</v>
      </c>
      <c r="L309" s="221">
        <f>L304+L307+L308</f>
        <v>62155.860000000008</v>
      </c>
      <c r="M309" s="296">
        <f>(+J309-D309)/D309</f>
        <v>-0.11538339411080725</v>
      </c>
      <c r="N309" s="221">
        <f>L309-F309</f>
        <v>-11555.250237008186</v>
      </c>
      <c r="O309" s="222">
        <f>O304+O307+O308</f>
        <v>237483.64999999991</v>
      </c>
      <c r="P309" s="295">
        <f>IF(O309&lt;=0,0,Q309/O309)</f>
        <v>0.38297630173698161</v>
      </c>
      <c r="Q309" s="221">
        <f t="shared" ref="Q309" si="53">Q304+Q307+Q308</f>
        <v>90950.609999999695</v>
      </c>
      <c r="R309" s="296">
        <f>IF(O309=0,0,(J309-O309)/O309)</f>
        <v>-0.11163522204581189</v>
      </c>
      <c r="S309" s="198">
        <f>L309-Q309</f>
        <v>-28794.749999999687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3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-0.15676402376594015</v>
      </c>
      <c r="O310" s="223"/>
      <c r="P310" s="178"/>
      <c r="Q310" s="265"/>
      <c r="R310" s="223"/>
      <c r="S310" s="262">
        <f>IF(Q309=0,0,S309/Q309)</f>
        <v>-0.31659765668421336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3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3"/>
        <v>PiècesAutostock</v>
      </c>
      <c r="B312" s="24" t="s">
        <v>167</v>
      </c>
      <c r="C312" s="294" t="s">
        <v>181</v>
      </c>
      <c r="D312" s="188">
        <f>+INDEX('Budget original'!$A$2:$AO$501,MATCH($A312,'Budget original'!$A$2:$A$501,0),MATCH(D$2,'Budget original'!$A$2:$AO$2,0))</f>
        <v>0</v>
      </c>
      <c r="E312" s="193">
        <f>IF(D312=0,0,F312/D312)</f>
        <v>0</v>
      </c>
      <c r="F312" s="194">
        <f>+INDEX('Budget original'!$A$2:$AO$501,MATCH($A312,'Budget original'!$A$2:$A$501,0),MATCH(F$2,'Budget original'!$A$2:$AO$2,0))</f>
        <v>0</v>
      </c>
      <c r="G312" s="209"/>
      <c r="H312" s="193"/>
      <c r="I312" s="194"/>
      <c r="J312" s="183">
        <f>-SUMIFS(BV_Data_An_Cour!$O:$O,BV_Data_An_Cour!$X:$X,"Oui",BV_Data_An_Cour!$U:$U,$B312,BV_Data_An_Cour!$V:$V,$C312)</f>
        <v>0</v>
      </c>
      <c r="K312" s="301">
        <f>IF(J312&lt;=0,0,L312/J312)</f>
        <v>0</v>
      </c>
      <c r="L312" s="177">
        <f>-SUMIFS(BV_Data_An_Cour!$O:$O,BV_Data_An_Cour!$U:$U,$B312,BV_Data_An_Cour!$V:$V,$C312,BV_Data_An_Cour!$W:$W,$L$2)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>
        <f t="array" ref="O312">+INDEX('Réel 2024'!$A$2:$AO$501,MATCH($A312,'Réel 2024'!$A$2:$A$501,0),MATCH(O$2,'Réel 2024'!$A$2:$AO$2,0))</f>
        <v>0</v>
      </c>
      <c r="P312" s="301">
        <f>IF(O312=0,0,Q312/O312)</f>
        <v>0</v>
      </c>
      <c r="Q312" s="177">
        <f t="array" ref="Q312">+INDEX('Réel 2024'!$A$2:$AO$501,MATCH($A312,'Réel 2024'!$A$2:$A$501,0),MATCH(Q$2,'Réel 2024'!$A$2:$AO$2,0))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3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3"/>
        <v>PiècesTotal Dépt. Pièces</v>
      </c>
      <c r="B314" s="24" t="s">
        <v>167</v>
      </c>
      <c r="C314" s="256" t="s">
        <v>182</v>
      </c>
      <c r="D314" s="26">
        <f>D309+D312</f>
        <v>238489.88205227797</v>
      </c>
      <c r="E314" s="71">
        <f>IF(D314&lt;=0,0,F314/D314)</f>
        <v>0.30907437079804673</v>
      </c>
      <c r="F314" s="28">
        <f>F309+F312</f>
        <v>73711.110237008194</v>
      </c>
      <c r="G314" s="29"/>
      <c r="H314" s="71"/>
      <c r="I314" s="28"/>
      <c r="J314" s="29">
        <f>J309+J312</f>
        <v>210972.11000000004</v>
      </c>
      <c r="K314" s="71">
        <f>IF(J314&lt;=0,0,L314/J314)</f>
        <v>0.2946164779790087</v>
      </c>
      <c r="L314" s="28">
        <f>L309+L312</f>
        <v>62155.860000000008</v>
      </c>
      <c r="M314" s="72">
        <f>(+J314-D314)/D314</f>
        <v>-0.11538339411080725</v>
      </c>
      <c r="N314" s="73">
        <f>L314-F314</f>
        <v>-11555.250237008186</v>
      </c>
      <c r="O314" s="29">
        <f>O309+O312</f>
        <v>237483.64999999991</v>
      </c>
      <c r="P314" s="71">
        <f>IF(O314&lt;=0,0,Q314/O314)</f>
        <v>0.38297630173698161</v>
      </c>
      <c r="Q314" s="28">
        <f t="shared" ref="Q314" si="54">Q309+Q312</f>
        <v>90950.609999999695</v>
      </c>
      <c r="R314" s="72">
        <f>IF(O314=0,0,(J314-O314)/O314)</f>
        <v>-0.11163522204581189</v>
      </c>
      <c r="S314" s="257">
        <f>L314-Q314</f>
        <v>-28794.749999999687</v>
      </c>
      <c r="T314" s="25"/>
      <c r="U314" s="25"/>
      <c r="V314" s="1275" t="s">
        <v>2358</v>
      </c>
      <c r="W314" s="1179"/>
      <c r="X314" s="1154">
        <f>L314-W314</f>
        <v>62155.860000000008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3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-0.15676402376594015</v>
      </c>
      <c r="O315" s="77"/>
      <c r="P315" s="75"/>
      <c r="Q315" s="76"/>
      <c r="R315" s="78"/>
      <c r="S315" s="259">
        <f>IF(Q314=0,0,S314/Q314)</f>
        <v>-0.31659765668421336</v>
      </c>
      <c r="T315" s="25"/>
      <c r="U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3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3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3"/>
        <v>PiècesSalaires cadres</v>
      </c>
      <c r="B318" s="24" t="s">
        <v>167</v>
      </c>
      <c r="C318" s="267" t="s">
        <v>109</v>
      </c>
      <c r="D318" s="178"/>
      <c r="E318" s="178"/>
      <c r="F318" s="179">
        <f>+INDEX('Budget original'!$A$2:$AO$501,MATCH($A318,'Budget original'!$A$2:$A$501,0),MATCH(F$2,'Budget original'!$A$2:$AO$2,0))</f>
        <v>4325.9966696139118</v>
      </c>
      <c r="G318" s="223"/>
      <c r="H318" s="178"/>
      <c r="I318" s="179"/>
      <c r="J318" s="223"/>
      <c r="K318" s="178"/>
      <c r="L318" s="180">
        <f>SUMIFS(BV_Data_An_Cour!$O:$O,BV_Data_An_Cour!$U:$U,$B318,BV_Data_An_Cour!$V:$V,$C318,BV_Data_An_Cour!$W:$W,$L$2)</f>
        <v>4471.09</v>
      </c>
      <c r="M318" s="223"/>
      <c r="N318" s="225">
        <f t="shared" ref="N318:N348" si="55">L318-F318</f>
        <v>145.09333038608838</v>
      </c>
      <c r="O318" s="223"/>
      <c r="P318" s="178"/>
      <c r="Q318" s="180">
        <f t="array" ref="Q318">+INDEX('Réel 2024'!$A$2:$AO$501,MATCH($A318,'Réel 2024'!$A$2:$A$501,0),MATCH(Q$2,'Réel 2024'!$A$2:$AO$2,0))</f>
        <v>2434.1999999999998</v>
      </c>
      <c r="R318" s="223"/>
      <c r="S318" s="197">
        <f t="shared" ref="S318:S343" si="56">L318-Q318</f>
        <v>2036.8900000000003</v>
      </c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3"/>
        <v>PiècesSalaires commis</v>
      </c>
      <c r="B319" s="24" t="s">
        <v>167</v>
      </c>
      <c r="C319" s="268" t="s">
        <v>110</v>
      </c>
      <c r="D319" s="249"/>
      <c r="E319" s="178"/>
      <c r="F319" s="177">
        <f>+INDEX('Budget original'!$A$2:$AO$501,MATCH($A319,'Budget original'!$A$2:$A$501,0),MATCH(F$2,'Budget original'!$A$2:$AO$2,0))</f>
        <v>2917.7478927203065</v>
      </c>
      <c r="G319" s="269"/>
      <c r="H319" s="178"/>
      <c r="I319" s="177"/>
      <c r="J319" s="223"/>
      <c r="K319" s="178"/>
      <c r="L319" s="180">
        <f>SUMIFS(BV_Data_An_Cour!$O:$O,BV_Data_An_Cour!$U:$U,$B319,BV_Data_An_Cour!$V:$V,$C319,BV_Data_An_Cour!$W:$W,$L$2)</f>
        <v>1905.07</v>
      </c>
      <c r="M319" s="223"/>
      <c r="N319" s="225">
        <f t="shared" si="55"/>
        <v>-1012.6778927203065</v>
      </c>
      <c r="O319" s="223"/>
      <c r="P319" s="178"/>
      <c r="Q319" s="180">
        <f t="array" ref="Q319">+INDEX('Réel 2024'!$A$2:$AO$501,MATCH($A319,'Réel 2024'!$A$2:$A$501,0),MATCH(Q$2,'Réel 2024'!$A$2:$AO$2,0))</f>
        <v>2798.35</v>
      </c>
      <c r="R319" s="223"/>
      <c r="S319" s="197">
        <f t="shared" si="56"/>
        <v>-893.28</v>
      </c>
      <c r="T319" s="25"/>
      <c r="U319" s="25"/>
      <c r="V319" s="1275" t="s">
        <v>3034</v>
      </c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3"/>
        <v>PiècesSalaires autres</v>
      </c>
      <c r="B320" s="24" t="s">
        <v>167</v>
      </c>
      <c r="C320" s="267" t="s">
        <v>111</v>
      </c>
      <c r="D320" s="270"/>
      <c r="E320" s="271"/>
      <c r="F320" s="179">
        <f>+INDEX('Budget original'!$A$2:$AO$501,MATCH($A320,'Budget original'!$A$2:$A$501,0),MATCH(F$2,'Budget original'!$A$2:$AO$2,0))</f>
        <v>15429.558697318007</v>
      </c>
      <c r="G320" s="272"/>
      <c r="H320" s="271"/>
      <c r="I320" s="179"/>
      <c r="J320" s="273"/>
      <c r="K320" s="271"/>
      <c r="L320" s="181">
        <f>SUMIFS(BV_Data_An_Cour!$O:$O,BV_Data_An_Cour!$U:$U,$B320,BV_Data_An_Cour!$V:$V,$C320,BV_Data_An_Cour!$W:$W,$L$2)</f>
        <v>13628.92</v>
      </c>
      <c r="M320" s="273"/>
      <c r="N320" s="274">
        <f t="shared" si="55"/>
        <v>-1800.638697318007</v>
      </c>
      <c r="O320" s="273"/>
      <c r="P320" s="271"/>
      <c r="Q320" s="181">
        <f t="array" ref="Q320">+INDEX('Réel 2024'!$A$2:$AO$501,MATCH($A320,'Réel 2024'!$A$2:$A$501,0),MATCH(Q$2,'Réel 2024'!$A$2:$AO$2,0))</f>
        <v>13914.05</v>
      </c>
      <c r="R320" s="273"/>
      <c r="S320" s="199">
        <f t="shared" si="56"/>
        <v>-285.1299999999992</v>
      </c>
      <c r="T320" s="25"/>
      <c r="U320" s="25"/>
      <c r="V320" s="1275" t="s">
        <v>3039</v>
      </c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43"/>
        <v>PiècesSalaires spécialistes</v>
      </c>
      <c r="B321" s="24" t="s">
        <v>167</v>
      </c>
      <c r="C321" s="267" t="s">
        <v>112</v>
      </c>
      <c r="D321" s="249"/>
      <c r="E321" s="178"/>
      <c r="F321" s="179">
        <f>+INDEX('Budget original'!$A$2:$AO$501,MATCH($A321,'Budget original'!$A$2:$A$501,0),MATCH(F$2,'Budget original'!$A$2:$AO$2,0))</f>
        <v>0</v>
      </c>
      <c r="G321" s="269"/>
      <c r="H321" s="178"/>
      <c r="I321" s="179"/>
      <c r="J321" s="223"/>
      <c r="K321" s="178"/>
      <c r="L321" s="180">
        <f>SUMIFS(BV_Data_An_Cour!$O:$O,BV_Data_An_Cour!$U:$U,$B321,BV_Data_An_Cour!$V:$V,$C321,BV_Data_An_Cour!$W:$W,$L$2)</f>
        <v>0</v>
      </c>
      <c r="M321" s="223"/>
      <c r="N321" s="225">
        <f t="shared" si="55"/>
        <v>0</v>
      </c>
      <c r="O321" s="223"/>
      <c r="P321" s="178"/>
      <c r="Q321" s="180">
        <f t="array" ref="Q321">+INDEX('Réel 2024'!$A$2:$AO$501,MATCH($A321,'Réel 2024'!$A$2:$A$501,0),MATCH(Q$2,'Réel 2024'!$A$2:$AO$2,0))</f>
        <v>0</v>
      </c>
      <c r="R321" s="223"/>
      <c r="S321" s="197">
        <f t="shared" si="56"/>
        <v>0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>
        <f>+INDEX('Budget original'!$A$2:$AO$501,MATCH($A322,'Budget original'!$A$2:$A$501,0),MATCH(F$2,'Budget original'!$A$2:$AO$2,0))</f>
        <v>0</v>
      </c>
      <c r="G322" s="269"/>
      <c r="H322" s="178"/>
      <c r="I322" s="179"/>
      <c r="J322" s="223"/>
      <c r="K322" s="178"/>
      <c r="L322" s="180">
        <f>SUMIFS(BV_Data_An_Cour!$O:$O,BV_Data_An_Cour!$U:$U,$B322,BV_Data_An_Cour!$V:$V,$C322,BV_Data_An_Cour!$W:$W,$L$2)</f>
        <v>0</v>
      </c>
      <c r="M322" s="223"/>
      <c r="N322" s="225">
        <f t="shared" si="55"/>
        <v>0</v>
      </c>
      <c r="O322" s="223"/>
      <c r="P322" s="178"/>
      <c r="Q322" s="180">
        <f t="array" ref="Q322">+INDEX('Réel 2024'!$A$2:$AO$501,MATCH($A322,'Réel 2024'!$A$2:$A$501,0),MATCH(Q$2,'Réel 2024'!$A$2:$AO$2,0))</f>
        <v>0</v>
      </c>
      <c r="R322" s="223"/>
      <c r="S322" s="197">
        <f>L322-Q322</f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>
        <f>+INDEX('Budget original'!$A$2:$AO$501,MATCH($A323,'Budget original'!$A$2:$A$501,0),MATCH(F$2,'Budget original'!$A$2:$AO$2,0))</f>
        <v>0</v>
      </c>
      <c r="G323" s="269"/>
      <c r="H323" s="178"/>
      <c r="I323" s="179"/>
      <c r="J323" s="223"/>
      <c r="K323" s="178"/>
      <c r="L323" s="180">
        <f>SUMIFS(BV_Data_An_Cour!$O:$O,BV_Data_An_Cour!$U:$U,$B323,BV_Data_An_Cour!$V:$V,$C323,BV_Data_An_Cour!$W:$W,$L$2)</f>
        <v>0</v>
      </c>
      <c r="M323" s="223"/>
      <c r="N323" s="225">
        <f t="shared" si="55"/>
        <v>0</v>
      </c>
      <c r="O323" s="223"/>
      <c r="P323" s="178"/>
      <c r="Q323" s="180">
        <f t="array" ref="Q323">+INDEX('Réel 2024'!$A$2:$AO$501,MATCH($A323,'Réel 2024'!$A$2:$A$501,0),MATCH(Q$2,'Réel 2024'!$A$2:$AO$2,0))</f>
        <v>0</v>
      </c>
      <c r="R323" s="223"/>
      <c r="S323" s="197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>
        <f>+INDEX('Budget original'!$A$2:$AO$501,MATCH($A324,'Budget original'!$A$2:$A$501,0),MATCH(F$2,'Budget original'!$A$2:$AO$2,0))</f>
        <v>0</v>
      </c>
      <c r="G324" s="269"/>
      <c r="H324" s="178"/>
      <c r="I324" s="179"/>
      <c r="J324" s="223"/>
      <c r="K324" s="178"/>
      <c r="L324" s="180">
        <f>SUMIFS(BV_Data_An_Cour!$O:$O,BV_Data_An_Cour!$U:$U,$B324,BV_Data_An_Cour!$V:$V,$C324,BV_Data_An_Cour!$W:$W,$L$2)</f>
        <v>0</v>
      </c>
      <c r="M324" s="223"/>
      <c r="N324" s="225">
        <f t="shared" si="55"/>
        <v>0</v>
      </c>
      <c r="O324" s="223"/>
      <c r="P324" s="178"/>
      <c r="Q324" s="180">
        <f t="array" ref="Q324">+INDEX('Réel 2024'!$A$2:$AO$501,MATCH($A324,'Réel 2024'!$A$2:$A$501,0),MATCH(Q$2,'Réel 2024'!$A$2:$AO$2,0))</f>
        <v>0</v>
      </c>
      <c r="R324" s="223"/>
      <c r="S324" s="197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3"/>
        <v>PiècesSalaires en absences</v>
      </c>
      <c r="B325" s="24" t="s">
        <v>167</v>
      </c>
      <c r="C325" s="268" t="s">
        <v>113</v>
      </c>
      <c r="D325" s="249"/>
      <c r="E325" s="178"/>
      <c r="F325" s="177">
        <f>+INDEX('Budget original'!$A$2:$AO$501,MATCH($A325,'Budget original'!$A$2:$A$501,0),MATCH(F$2,'Budget original'!$A$2:$AO$2,0))</f>
        <v>4867.7010138521946</v>
      </c>
      <c r="G325" s="269"/>
      <c r="H325" s="178"/>
      <c r="I325" s="177"/>
      <c r="J325" s="223"/>
      <c r="K325" s="178"/>
      <c r="L325" s="180">
        <f>SUMIFS(BV_Data_An_Cour!$O:$O,BV_Data_An_Cour!$U:$U,$B325,BV_Data_An_Cour!$V:$V,$C325,BV_Data_An_Cour!$W:$W,$L$2)</f>
        <v>-358.94</v>
      </c>
      <c r="M325" s="223"/>
      <c r="N325" s="225">
        <f t="shared" si="55"/>
        <v>-5226.6410138521942</v>
      </c>
      <c r="O325" s="223"/>
      <c r="P325" s="178"/>
      <c r="Q325" s="180">
        <f t="array" ref="Q325">+INDEX('Réel 2024'!$A$2:$AO$501,MATCH($A325,'Réel 2024'!$A$2:$A$501,0),MATCH(Q$2,'Réel 2024'!$A$2:$AO$2,0))</f>
        <v>1801.99</v>
      </c>
      <c r="R325" s="223"/>
      <c r="S325" s="197">
        <f t="shared" si="56"/>
        <v>-2160.9299999999998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3"/>
        <v>PiècesDéduction à la source</v>
      </c>
      <c r="B326" s="24" t="s">
        <v>167</v>
      </c>
      <c r="C326" s="267" t="s">
        <v>114</v>
      </c>
      <c r="D326" s="270"/>
      <c r="E326" s="271"/>
      <c r="F326" s="179">
        <f>+INDEX('Budget original'!$A$2:$AO$501,MATCH($A326,'Budget original'!$A$2:$A$501,0),MATCH(F$2,'Budget original'!$A$2:$AO$2,0))</f>
        <v>2920.5159542351903</v>
      </c>
      <c r="G326" s="272"/>
      <c r="H326" s="271"/>
      <c r="I326" s="179"/>
      <c r="J326" s="273"/>
      <c r="K326" s="271"/>
      <c r="L326" s="181">
        <f>SUMIFS(BV_Data_An_Cour!$O:$O,BV_Data_An_Cour!$U:$U,$B326,BV_Data_An_Cour!$V:$V,$C326,BV_Data_An_Cour!$W:$W,$L$2)</f>
        <v>3529.86</v>
      </c>
      <c r="M326" s="273"/>
      <c r="N326" s="274">
        <f t="shared" si="55"/>
        <v>609.34404576480983</v>
      </c>
      <c r="O326" s="273"/>
      <c r="P326" s="271"/>
      <c r="Q326" s="181">
        <f t="array" ref="Q326">+INDEX('Réel 2024'!$A$2:$AO$501,MATCH($A326,'Réel 2024'!$A$2:$A$501,0),MATCH(Q$2,'Réel 2024'!$A$2:$AO$2,0))</f>
        <v>3058.54</v>
      </c>
      <c r="R326" s="273"/>
      <c r="S326" s="199">
        <f t="shared" si="56"/>
        <v>471.32000000000016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3"/>
        <v>PiècesBénéfices marginaux</v>
      </c>
      <c r="B327" s="24" t="s">
        <v>167</v>
      </c>
      <c r="C327" s="267" t="s">
        <v>115</v>
      </c>
      <c r="D327" s="249"/>
      <c r="E327" s="178"/>
      <c r="F327" s="179">
        <f>+INDEX('Budget original'!$A$2:$AO$501,MATCH($A327,'Budget original'!$A$2:$A$501,0),MATCH(F$2,'Budget original'!$A$2:$AO$2,0))</f>
        <v>1793.299270144415</v>
      </c>
      <c r="G327" s="269"/>
      <c r="H327" s="178"/>
      <c r="I327" s="179"/>
      <c r="J327" s="223"/>
      <c r="K327" s="178"/>
      <c r="L327" s="180">
        <f>SUMIFS(BV_Data_An_Cour!$O:$O,BV_Data_An_Cour!$U:$U,$B327,BV_Data_An_Cour!$V:$V,$C327,BV_Data_An_Cour!$W:$W,$L$2)</f>
        <v>2290.9499999999998</v>
      </c>
      <c r="M327" s="223"/>
      <c r="N327" s="225">
        <f t="shared" si="55"/>
        <v>497.65072985558481</v>
      </c>
      <c r="O327" s="223"/>
      <c r="P327" s="178"/>
      <c r="Q327" s="180">
        <f t="array" ref="Q327">+INDEX('Réel 2024'!$A$2:$AO$501,MATCH($A327,'Réel 2024'!$A$2:$A$501,0),MATCH(Q$2,'Réel 2024'!$A$2:$AO$2,0))</f>
        <v>1676.85</v>
      </c>
      <c r="R327" s="223"/>
      <c r="S327" s="197">
        <f t="shared" si="56"/>
        <v>614.09999999999991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3"/>
        <v>PiècesCsst</v>
      </c>
      <c r="B328" s="24" t="s">
        <v>167</v>
      </c>
      <c r="C328" s="267" t="s">
        <v>116</v>
      </c>
      <c r="D328" s="249"/>
      <c r="E328" s="178"/>
      <c r="F328" s="179">
        <f>+INDEX('Budget original'!$A$2:$AO$501,MATCH($A328,'Budget original'!$A$2:$A$501,0),MATCH(F$2,'Budget original'!$A$2:$AO$2,0))</f>
        <v>384.27841503094606</v>
      </c>
      <c r="G328" s="269"/>
      <c r="H328" s="178"/>
      <c r="I328" s="179"/>
      <c r="J328" s="223"/>
      <c r="K328" s="178"/>
      <c r="L328" s="180">
        <f>SUMIFS(BV_Data_An_Cour!$O:$O,BV_Data_An_Cour!$U:$U,$B328,BV_Data_An_Cour!$V:$V,$C328,BV_Data_An_Cour!$W:$W,$L$2)</f>
        <v>742.08</v>
      </c>
      <c r="M328" s="746"/>
      <c r="N328" s="194">
        <f t="shared" si="55"/>
        <v>357.80158496905398</v>
      </c>
      <c r="O328" s="223"/>
      <c r="P328" s="178"/>
      <c r="Q328" s="180">
        <f t="array" ref="Q328">+INDEX('Réel 2024'!$A$2:$AO$501,MATCH($A328,'Réel 2024'!$A$2:$A$501,0),MATCH(Q$2,'Réel 2024'!$A$2:$AO$2,0))</f>
        <v>215.11</v>
      </c>
      <c r="R328" s="223"/>
      <c r="S328" s="197">
        <f t="shared" si="56"/>
        <v>526.97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3"/>
        <v>Pièces[...]</v>
      </c>
      <c r="B329" s="24" t="s">
        <v>167</v>
      </c>
      <c r="C329" s="251" t="s">
        <v>42</v>
      </c>
      <c r="D329" s="275"/>
      <c r="E329" s="276"/>
      <c r="F329" s="179">
        <f>+INDEX('Budget original'!$A$2:$AO$501,MATCH($A329,'Budget original'!$A$2:$A$501,0),MATCH(F$2,'Budget original'!$A$2:$AO$2,0))</f>
        <v>0</v>
      </c>
      <c r="G329" s="277"/>
      <c r="H329" s="276"/>
      <c r="I329" s="179"/>
      <c r="J329" s="278"/>
      <c r="K329" s="276"/>
      <c r="L329" s="180">
        <f>SUMIFS(BV_Data_An_Cour!$O:$O,BV_Data_An_Cour!$U:$U,$B329,BV_Data_An_Cour!$V:$V,$C329,BV_Data_An_Cour!$W:$W,$L$2)</f>
        <v>0</v>
      </c>
      <c r="M329" s="278"/>
      <c r="N329" s="279">
        <f t="shared" si="55"/>
        <v>0</v>
      </c>
      <c r="O329" s="278"/>
      <c r="P329" s="276"/>
      <c r="Q329" s="180">
        <f t="array" ref="Q329">+INDEX('Réel 2024'!$A$2:$AO$501,MATCH($A329,'Réel 2024'!$A$2:$A$501,0),MATCH(Q$2,'Réel 2024'!$A$2:$AO$2,0))</f>
        <v>0</v>
      </c>
      <c r="R329" s="278"/>
      <c r="S329" s="200">
        <f t="shared" si="56"/>
        <v>0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3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0.4427975349708928</v>
      </c>
      <c r="F330" s="41">
        <f>+SUM(F318:F329)</f>
        <v>32639.097912914971</v>
      </c>
      <c r="G330" s="42"/>
      <c r="H330" s="40"/>
      <c r="I330" s="41"/>
      <c r="J330" s="42" t="s">
        <v>108</v>
      </c>
      <c r="K330" s="40">
        <f>L330/L$314</f>
        <v>0.4216662757139874</v>
      </c>
      <c r="L330" s="41">
        <f>+SUM(L318:L329)</f>
        <v>26209.030000000006</v>
      </c>
      <c r="M330" s="43"/>
      <c r="N330" s="46">
        <f t="shared" si="55"/>
        <v>-6430.0679129149648</v>
      </c>
      <c r="O330" s="42" t="s">
        <v>108</v>
      </c>
      <c r="P330" s="40">
        <f>Q330/Q$314</f>
        <v>0.2847599372890417</v>
      </c>
      <c r="Q330" s="41">
        <f>+SUM(Q318:Q329)</f>
        <v>25899.09</v>
      </c>
      <c r="R330" s="43"/>
      <c r="S330" s="281">
        <f t="shared" si="56"/>
        <v>309.94000000000597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3"/>
        <v>PiècesPublicité 2</v>
      </c>
      <c r="B331" s="24" t="s">
        <v>167</v>
      </c>
      <c r="C331" s="471" t="s">
        <v>118</v>
      </c>
      <c r="D331" s="249"/>
      <c r="E331" s="178"/>
      <c r="F331" s="179">
        <f>+INDEX('Budget original'!$A$2:$AO$501,MATCH($A331,'Budget original'!$A$2:$A$501,0),MATCH(F$2,'Budget original'!$A$2:$AO$2,0))</f>
        <v>3522.344904643483</v>
      </c>
      <c r="G331" s="269"/>
      <c r="H331" s="178"/>
      <c r="I331" s="179"/>
      <c r="J331" s="223"/>
      <c r="K331" s="178"/>
      <c r="L331" s="180">
        <f>SUMIFS(BV_Data_An_Cour!$O:$O,BV_Data_An_Cour!$U:$U,$B331,BV_Data_An_Cour!$V:$V,$C331,BV_Data_An_Cour!$W:$W,$L$2)</f>
        <v>813.13</v>
      </c>
      <c r="M331" s="223"/>
      <c r="N331" s="225">
        <f t="shared" si="55"/>
        <v>-2709.2149046434829</v>
      </c>
      <c r="O331" s="223"/>
      <c r="P331" s="178"/>
      <c r="Q331" s="180">
        <f t="array" ref="Q331">+INDEX('Réel 2024'!$A$2:$AO$501,MATCH($A331,'Réel 2024'!$A$2:$A$501,0),MATCH(Q$2,'Réel 2024'!$A$2:$AO$2,0))</f>
        <v>3603.47</v>
      </c>
      <c r="R331" s="223"/>
      <c r="S331" s="197">
        <f t="shared" si="56"/>
        <v>-2790.3399999999997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3"/>
        <v>PiècesService gratuit 2</v>
      </c>
      <c r="B332" s="24" t="s">
        <v>167</v>
      </c>
      <c r="C332" s="267" t="s">
        <v>119</v>
      </c>
      <c r="D332" s="249"/>
      <c r="E332" s="178"/>
      <c r="F332" s="179">
        <f>+INDEX('Budget original'!$A$2:$AO$501,MATCH($A332,'Budget original'!$A$2:$A$501,0),MATCH(F$2,'Budget original'!$A$2:$AO$2,0))</f>
        <v>575</v>
      </c>
      <c r="G332" s="269"/>
      <c r="H332" s="178"/>
      <c r="I332" s="179"/>
      <c r="J332" s="223"/>
      <c r="K332" s="178"/>
      <c r="L332" s="179">
        <f>SUMIFS(BV_Data_An_Cour!$O:$O,BV_Data_An_Cour!$U:$U,$B332,BV_Data_An_Cour!$V:$V,$C332,BV_Data_An_Cour!$W:$W,$L$2)</f>
        <v>0</v>
      </c>
      <c r="M332" s="223"/>
      <c r="N332" s="225">
        <f t="shared" si="55"/>
        <v>-575</v>
      </c>
      <c r="O332" s="223"/>
      <c r="P332" s="178"/>
      <c r="Q332" s="180">
        <f t="array" ref="Q332">+INDEX('Réel 2024'!$A$2:$AO$501,MATCH($A332,'Réel 2024'!$A$2:$A$501,0),MATCH(Q$2,'Réel 2024'!$A$2:$AO$2,0))</f>
        <v>-31.35</v>
      </c>
      <c r="R332" s="223"/>
      <c r="S332" s="197">
        <f t="shared" si="56"/>
        <v>31.35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3"/>
        <v>PiècesFrais véhicules de cie</v>
      </c>
      <c r="B333" s="24" t="s">
        <v>167</v>
      </c>
      <c r="C333" s="268" t="s">
        <v>120</v>
      </c>
      <c r="D333" s="275"/>
      <c r="E333" s="276"/>
      <c r="F333" s="177">
        <f>+INDEX('Budget original'!$A$2:$AO$501,MATCH($A333,'Budget original'!$A$2:$A$501,0),MATCH(F$2,'Budget original'!$A$2:$AO$2,0))</f>
        <v>3453.9333333333334</v>
      </c>
      <c r="G333" s="277"/>
      <c r="H333" s="276"/>
      <c r="I333" s="177"/>
      <c r="J333" s="278"/>
      <c r="K333" s="276"/>
      <c r="L333" s="177">
        <f>SUMIFS(BV_Data_An_Cour!$O:$O,BV_Data_An_Cour!$U:$U,$B333,BV_Data_An_Cour!$V:$V,$C333,BV_Data_An_Cour!$W:$W,$L$2)</f>
        <v>2142.3599999999997</v>
      </c>
      <c r="M333" s="278"/>
      <c r="N333" s="279">
        <f t="shared" si="55"/>
        <v>-1311.5733333333337</v>
      </c>
      <c r="O333" s="278"/>
      <c r="P333" s="276"/>
      <c r="Q333" s="180">
        <f t="array" ref="Q333">+INDEX('Réel 2024'!$A$2:$AO$501,MATCH($A333,'Réel 2024'!$A$2:$A$501,0),MATCH(Q$2,'Réel 2024'!$A$2:$AO$2,0))</f>
        <v>6238.37</v>
      </c>
      <c r="R333" s="278"/>
      <c r="S333" s="200">
        <f t="shared" si="56"/>
        <v>-4096.01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3"/>
        <v>PiècesInformatique</v>
      </c>
      <c r="B334" s="24" t="s">
        <v>167</v>
      </c>
      <c r="C334" s="267" t="s">
        <v>121</v>
      </c>
      <c r="D334" s="249"/>
      <c r="E334" s="178"/>
      <c r="F334" s="179">
        <f>+INDEX('Budget original'!$A$2:$AO$501,MATCH($A334,'Budget original'!$A$2:$A$501,0),MATCH(F$2,'Budget original'!$A$2:$AO$2,0))</f>
        <v>1826.8000000000002</v>
      </c>
      <c r="G334" s="269"/>
      <c r="H334" s="178"/>
      <c r="I334" s="179"/>
      <c r="J334" s="223"/>
      <c r="K334" s="178"/>
      <c r="L334" s="181">
        <f>SUMIFS(BV_Data_An_Cour!$O:$O,BV_Data_An_Cour!$U:$U,$B334,BV_Data_An_Cour!$V:$V,$C334,BV_Data_An_Cour!$W:$W,$L$2)</f>
        <v>1887.1</v>
      </c>
      <c r="M334" s="223"/>
      <c r="N334" s="225">
        <f t="shared" si="55"/>
        <v>60.299999999999727</v>
      </c>
      <c r="O334" s="223"/>
      <c r="P334" s="178"/>
      <c r="Q334" s="181">
        <f t="array" ref="Q334">+INDEX('Réel 2024'!$A$2:$AO$501,MATCH($A334,'Réel 2024'!$A$2:$A$501,0),MATCH(Q$2,'Réel 2024'!$A$2:$AO$2,0))</f>
        <v>1950.01</v>
      </c>
      <c r="R334" s="223"/>
      <c r="S334" s="197">
        <f t="shared" si="56"/>
        <v>-62.910000000000082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3"/>
        <v>PiècesFrais de déplacement</v>
      </c>
      <c r="B335" s="24" t="s">
        <v>167</v>
      </c>
      <c r="C335" s="267" t="s">
        <v>122</v>
      </c>
      <c r="D335" s="249"/>
      <c r="E335" s="178"/>
      <c r="F335" s="179">
        <f>+INDEX('Budget original'!$A$2:$AO$501,MATCH($A335,'Budget original'!$A$2:$A$501,0),MATCH(F$2,'Budget original'!$A$2:$AO$2,0))</f>
        <v>366.66666666666669</v>
      </c>
      <c r="G335" s="269"/>
      <c r="H335" s="178"/>
      <c r="I335" s="179"/>
      <c r="J335" s="223"/>
      <c r="K335" s="178"/>
      <c r="L335" s="180">
        <f>SUMIFS(BV_Data_An_Cour!$O:$O,BV_Data_An_Cour!$U:$U,$B335,BV_Data_An_Cour!$V:$V,$C335,BV_Data_An_Cour!$W:$W,$L$2)</f>
        <v>101.82</v>
      </c>
      <c r="M335" s="223"/>
      <c r="N335" s="225">
        <f t="shared" si="55"/>
        <v>-264.84666666666669</v>
      </c>
      <c r="O335" s="223"/>
      <c r="P335" s="178"/>
      <c r="Q335" s="180">
        <f t="array" ref="Q335">+INDEX('Réel 2024'!$A$2:$AO$501,MATCH($A335,'Réel 2024'!$A$2:$A$501,0),MATCH(Q$2,'Réel 2024'!$A$2:$AO$2,0))</f>
        <v>-6.79</v>
      </c>
      <c r="R335" s="223"/>
      <c r="S335" s="197">
        <f t="shared" si="56"/>
        <v>108.61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3"/>
        <v>PiècesServices extérieurs</v>
      </c>
      <c r="B336" s="24" t="s">
        <v>167</v>
      </c>
      <c r="C336" s="587" t="s">
        <v>123</v>
      </c>
      <c r="D336" s="275"/>
      <c r="E336" s="276"/>
      <c r="F336" s="177">
        <f>+INDEX('Budget original'!$A$2:$AO$501,MATCH($A336,'Budget original'!$A$2:$A$501,0),MATCH(F$2,'Budget original'!$A$2:$AO$2,0))</f>
        <v>2023.2</v>
      </c>
      <c r="G336" s="277"/>
      <c r="H336" s="276"/>
      <c r="I336" s="177"/>
      <c r="J336" s="278"/>
      <c r="K336" s="276"/>
      <c r="L336" s="350">
        <f>SUMIFS(BV_Data_An_Cour!$O:$O,BV_Data_An_Cour!$U:$U,$B336,BV_Data_An_Cour!$V:$V,$C336,BV_Data_An_Cour!$W:$W,$L$2)</f>
        <v>2208.42</v>
      </c>
      <c r="M336" s="278"/>
      <c r="N336" s="279">
        <f t="shared" si="55"/>
        <v>185.22000000000003</v>
      </c>
      <c r="O336" s="278"/>
      <c r="P336" s="276"/>
      <c r="Q336" s="350">
        <f t="array" ref="Q336">+INDEX('Réel 2024'!$A$2:$AO$501,MATCH($A336,'Réel 2024'!$A$2:$A$501,0),MATCH(Q$2,'Réel 2024'!$A$2:$AO$2,0))</f>
        <v>2227.2600000000002</v>
      </c>
      <c r="R336" s="278"/>
      <c r="S336" s="200">
        <f t="shared" si="56"/>
        <v>-18.840000000000146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SUMIFS(BV_Data_An_Cour!$O:$O,BV_Data_An_Cour!$U:$U,$B337,BV_Data_An_Cour!$V:$V,$C337,BV_Data_An_Cour!$W:$W,$L$2)</f>
        <v>0</v>
      </c>
      <c r="M337" s="223"/>
      <c r="N337" s="225">
        <f t="shared" si="55"/>
        <v>0</v>
      </c>
      <c r="O337" s="223"/>
      <c r="P337" s="178"/>
      <c r="Q337" s="180">
        <f>+INDEX('Réel 2024'!$A$2:$AO$501,MATCH($A337,'Réel 2024'!$A$2:$A$501,0),MATCH(Q$2,'Réel 2024'!$A$2:$AO$2,0))</f>
        <v>0</v>
      </c>
      <c r="R337" s="223"/>
      <c r="S337" s="197">
        <f>L337-Q337</f>
        <v>0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3"/>
        <v>PiècesFournitures autres</v>
      </c>
      <c r="B338" s="24" t="s">
        <v>167</v>
      </c>
      <c r="C338" s="267" t="s">
        <v>124</v>
      </c>
      <c r="D338" s="249"/>
      <c r="E338" s="178"/>
      <c r="F338" s="179">
        <f>+INDEX('Budget original'!$A$2:$AO$501,MATCH($A338,'Budget original'!$A$2:$A$501,0),MATCH(F$2,'Budget original'!$A$2:$AO$2,0))</f>
        <v>10</v>
      </c>
      <c r="G338" s="269"/>
      <c r="H338" s="178"/>
      <c r="I338" s="179"/>
      <c r="J338" s="223"/>
      <c r="K338" s="178"/>
      <c r="L338" s="180">
        <f>SUMIFS(BV_Data_An_Cour!$O:$O,BV_Data_An_Cour!$U:$U,$B338,BV_Data_An_Cour!$V:$V,$C338,BV_Data_An_Cour!$W:$W,$L$2)</f>
        <v>5.82</v>
      </c>
      <c r="M338" s="223"/>
      <c r="N338" s="225">
        <f t="shared" si="55"/>
        <v>-4.18</v>
      </c>
      <c r="O338" s="223"/>
      <c r="P338" s="178"/>
      <c r="Q338" s="180">
        <f t="array" ref="Q338">+INDEX('Réel 2024'!$A$2:$AO$501,MATCH($A338,'Réel 2024'!$A$2:$A$501,0),MATCH(Q$2,'Réel 2024'!$A$2:$AO$2,0))</f>
        <v>216.2</v>
      </c>
      <c r="R338" s="223"/>
      <c r="S338" s="197">
        <f t="shared" si="56"/>
        <v>-210.38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3"/>
        <v>PiècesUniformes</v>
      </c>
      <c r="B339" s="24" t="s">
        <v>167</v>
      </c>
      <c r="C339" s="267" t="s">
        <v>125</v>
      </c>
      <c r="D339" s="249"/>
      <c r="E339" s="178"/>
      <c r="F339" s="179">
        <f>+INDEX('Budget original'!$A$2:$AO$501,MATCH($A339,'Budget original'!$A$2:$A$501,0),MATCH(F$2,'Budget original'!$A$2:$AO$2,0))</f>
        <v>20</v>
      </c>
      <c r="G339" s="269"/>
      <c r="H339" s="178"/>
      <c r="I339" s="179"/>
      <c r="J339" s="223"/>
      <c r="K339" s="178"/>
      <c r="L339" s="180">
        <f>SUMIFS(BV_Data_An_Cour!$O:$O,BV_Data_An_Cour!$U:$U,$B339,BV_Data_An_Cour!$V:$V,$C339,BV_Data_An_Cour!$W:$W,$L$2)</f>
        <v>0</v>
      </c>
      <c r="M339" s="223"/>
      <c r="N339" s="225">
        <f t="shared" si="55"/>
        <v>-20</v>
      </c>
      <c r="O339" s="223"/>
      <c r="P339" s="178"/>
      <c r="Q339" s="180">
        <f t="array" ref="Q339">+INDEX('Réel 2024'!$A$2:$AO$501,MATCH($A339,'Réel 2024'!$A$2:$A$501,0),MATCH(Q$2,'Réel 2024'!$A$2:$AO$2,0))</f>
        <v>0</v>
      </c>
      <c r="R339" s="223"/>
      <c r="S339" s="197">
        <f t="shared" si="56"/>
        <v>0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3"/>
        <v>PiècesPapeterie</v>
      </c>
      <c r="B340" s="24" t="s">
        <v>167</v>
      </c>
      <c r="C340" s="267" t="s">
        <v>126</v>
      </c>
      <c r="D340" s="249"/>
      <c r="E340" s="178"/>
      <c r="F340" s="179">
        <f>+INDEX('Budget original'!$A$2:$AO$501,MATCH($A340,'Budget original'!$A$2:$A$501,0),MATCH(F$2,'Budget original'!$A$2:$AO$2,0))</f>
        <v>315</v>
      </c>
      <c r="G340" s="269"/>
      <c r="H340" s="178"/>
      <c r="I340" s="179"/>
      <c r="J340" s="223"/>
      <c r="K340" s="178"/>
      <c r="L340" s="473">
        <f>SUMIFS(BV_Data_An_Cour!$O:$O,BV_Data_An_Cour!$U:$U,$B340,BV_Data_An_Cour!$V:$V,$C340,BV_Data_An_Cour!$W:$W,$L$2)</f>
        <v>115.12</v>
      </c>
      <c r="M340" s="223"/>
      <c r="N340" s="225">
        <f t="shared" si="55"/>
        <v>-199.88</v>
      </c>
      <c r="O340" s="223"/>
      <c r="P340" s="178"/>
      <c r="Q340" s="473">
        <f t="array" ref="Q340">+INDEX('Réel 2024'!$A$2:$AO$501,MATCH($A340,'Réel 2024'!$A$2:$A$501,0),MATCH(Q$2,'Réel 2024'!$A$2:$AO$2,0))</f>
        <v>214.82</v>
      </c>
      <c r="R340" s="223"/>
      <c r="S340" s="197">
        <f t="shared" si="56"/>
        <v>-99.699999999999989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3"/>
        <v>PiècesTéléphone</v>
      </c>
      <c r="B341" s="24" t="s">
        <v>167</v>
      </c>
      <c r="C341" s="267" t="s">
        <v>127</v>
      </c>
      <c r="D341" s="249"/>
      <c r="E341" s="178"/>
      <c r="F341" s="179">
        <f>+INDEX('Budget original'!$A$2:$AO$501,MATCH($A341,'Budget original'!$A$2:$A$501,0),MATCH(F$2,'Budget original'!$A$2:$AO$2,0))</f>
        <v>118.4</v>
      </c>
      <c r="G341" s="269"/>
      <c r="H341" s="178"/>
      <c r="I341" s="179"/>
      <c r="J341" s="223"/>
      <c r="K341" s="178"/>
      <c r="L341" s="180">
        <f>SUMIFS(BV_Data_An_Cour!$O:$O,BV_Data_An_Cour!$U:$U,$B341,BV_Data_An_Cour!$V:$V,$C341,BV_Data_An_Cour!$W:$W,$L$2)</f>
        <v>180.43</v>
      </c>
      <c r="M341" s="223"/>
      <c r="N341" s="225">
        <f t="shared" si="55"/>
        <v>62.03</v>
      </c>
      <c r="O341" s="223"/>
      <c r="P341" s="178"/>
      <c r="Q341" s="180">
        <f t="array" ref="Q341">+INDEX('Réel 2024'!$A$2:$AO$501,MATCH($A341,'Réel 2024'!$A$2:$A$501,0),MATCH(Q$2,'Réel 2024'!$A$2:$AO$2,0))</f>
        <v>102.04</v>
      </c>
      <c r="R341" s="223"/>
      <c r="S341" s="197">
        <f t="shared" si="56"/>
        <v>78.39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3"/>
        <v>PiècesFrais postaux</v>
      </c>
      <c r="B342" s="24" t="s">
        <v>167</v>
      </c>
      <c r="C342" s="267" t="s">
        <v>128</v>
      </c>
      <c r="D342" s="249"/>
      <c r="E342" s="178"/>
      <c r="F342" s="179">
        <f>+INDEX('Budget original'!$A$2:$AO$501,MATCH($A342,'Budget original'!$A$2:$A$501,0),MATCH(F$2,'Budget original'!$A$2:$AO$2,0))</f>
        <v>590</v>
      </c>
      <c r="G342" s="269"/>
      <c r="H342" s="178"/>
      <c r="I342" s="179"/>
      <c r="J342" s="223"/>
      <c r="K342" s="178"/>
      <c r="L342" s="180">
        <f>SUMIFS(BV_Data_An_Cour!$O:$O,BV_Data_An_Cour!$U:$U,$B342,BV_Data_An_Cour!$V:$V,$C342,BV_Data_An_Cour!$W:$W,$L$2)</f>
        <v>479.33</v>
      </c>
      <c r="M342" s="223"/>
      <c r="N342" s="225">
        <f t="shared" si="55"/>
        <v>-110.67000000000002</v>
      </c>
      <c r="O342" s="223"/>
      <c r="P342" s="178"/>
      <c r="Q342" s="180">
        <f t="array" ref="Q342">+INDEX('Réel 2024'!$A$2:$AO$501,MATCH($A342,'Réel 2024'!$A$2:$A$501,0),MATCH(Q$2,'Réel 2024'!$A$2:$AO$2,0))</f>
        <v>513.61</v>
      </c>
      <c r="R342" s="223"/>
      <c r="S342" s="197">
        <f t="shared" si="56"/>
        <v>-34.28000000000003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3"/>
        <v>PiècesDivers</v>
      </c>
      <c r="B343" s="24" t="s">
        <v>167</v>
      </c>
      <c r="C343" s="267" t="s">
        <v>129</v>
      </c>
      <c r="D343" s="249"/>
      <c r="E343" s="178"/>
      <c r="F343" s="179">
        <f>+INDEX('Budget original'!$A$2:$AO$501,MATCH($A343,'Budget original'!$A$2:$A$501,0),MATCH(F$2,'Budget original'!$A$2:$AO$2,0))</f>
        <v>348.20000000000005</v>
      </c>
      <c r="G343" s="269"/>
      <c r="H343" s="178"/>
      <c r="I343" s="179"/>
      <c r="J343" s="223"/>
      <c r="K343" s="178"/>
      <c r="L343" s="180">
        <f>SUMIFS(BV_Data_An_Cour!$O:$O,BV_Data_An_Cour!$U:$U,$B343,BV_Data_An_Cour!$V:$V,$C343,BV_Data_An_Cour!$W:$W,$L$2)</f>
        <v>0</v>
      </c>
      <c r="M343" s="223"/>
      <c r="N343" s="225">
        <f t="shared" si="55"/>
        <v>-348.20000000000005</v>
      </c>
      <c r="O343" s="223"/>
      <c r="P343" s="178"/>
      <c r="Q343" s="180">
        <f t="array" ref="Q343">+INDEX('Réel 2024'!$A$2:$AO$501,MATCH($A343,'Réel 2024'!$A$2:$A$501,0),MATCH(Q$2,'Réel 2024'!$A$2:$AO$2,0))</f>
        <v>477.94</v>
      </c>
      <c r="R343" s="223"/>
      <c r="S343" s="197">
        <f t="shared" si="56"/>
        <v>-477.94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>
        <f>+INDEX('Budget original'!$A$2:$AO$501,MATCH($A344,'Budget original'!$A$2:$A$501,0),MATCH(F$2,'Budget original'!$A$2:$AO$2,0))</f>
        <v>256.41489333333328</v>
      </c>
      <c r="G344" s="269"/>
      <c r="H344" s="178"/>
      <c r="I344" s="179"/>
      <c r="J344" s="223"/>
      <c r="K344" s="178"/>
      <c r="L344" s="225">
        <f>SUMIFS(BV_Data_An_Cour!$O:$O,BV_Data_An_Cour!$U:$U,$B344,BV_Data_An_Cour!$V:$V,$C344,BV_Data_An_Cour!$W:$W,$L$2)</f>
        <v>411.35</v>
      </c>
      <c r="M344" s="223"/>
      <c r="N344" s="225">
        <f t="shared" si="55"/>
        <v>154.93510666666674</v>
      </c>
      <c r="O344" s="223"/>
      <c r="P344" s="178"/>
      <c r="Q344" s="180">
        <f t="array" ref="Q344">+INDEX('Réel 2024'!$A$2:$AO$501,MATCH($A344,'Réel 2024'!$A$2:$A$501,0),MATCH(Q$2,'Réel 2024'!$A$2:$AO$2,0))</f>
        <v>147.44999999999999</v>
      </c>
      <c r="R344" s="223"/>
      <c r="S344" s="197">
        <f>L344-Q344</f>
        <v>263.90000000000003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>
        <f>+INDEX('Budget original'!$A$2:$AO$501,MATCH($A345,'Budget original'!$A$2:$A$501,0),MATCH(F$2,'Budget original'!$A$2:$AO$2,0))</f>
        <v>952.25174482513671</v>
      </c>
      <c r="G345" s="269"/>
      <c r="H345" s="178"/>
      <c r="I345" s="179"/>
      <c r="J345" s="223"/>
      <c r="K345" s="178"/>
      <c r="L345" s="473">
        <f>SUMIFS(BV_Data_An_Cour!$O:$O,BV_Data_An_Cour!$U:$U,$B345,BV_Data_An_Cour!$V:$V,$C345,BV_Data_An_Cour!$W:$W,$L$2)</f>
        <v>1023</v>
      </c>
      <c r="M345" s="223"/>
      <c r="N345" s="225">
        <f t="shared" si="55"/>
        <v>70.748255174863289</v>
      </c>
      <c r="O345" s="223"/>
      <c r="P345" s="178"/>
      <c r="Q345" s="180">
        <f t="array" ref="Q345">+INDEX('Réel 2024'!$A$2:$AO$501,MATCH($A345,'Réel 2024'!$A$2:$A$501,0),MATCH(Q$2,'Réel 2024'!$A$2:$AO$2,0))</f>
        <v>1136.27</v>
      </c>
      <c r="R345" s="223"/>
      <c r="S345" s="197">
        <f>L345-Q345</f>
        <v>-113.26999999999998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>
        <f>+INDEX('Budget original'!$A$2:$AO$501,MATCH($A346,'Budget original'!$A$2:$A$501,0),MATCH(F$2,'Budget original'!$A$2:$AO$2,0))</f>
        <v>0</v>
      </c>
      <c r="G346" s="269"/>
      <c r="H346" s="178"/>
      <c r="I346" s="179"/>
      <c r="J346" s="223"/>
      <c r="K346" s="178"/>
      <c r="L346" s="180">
        <f>SUMIFS(BV_Data_An_Cour!$O:$O,BV_Data_An_Cour!$U:$U,$B346,BV_Data_An_Cour!$V:$V,$C346,BV_Data_An_Cour!$W:$W,$L$2)</f>
        <v>0</v>
      </c>
      <c r="M346" s="223"/>
      <c r="N346" s="225">
        <f t="shared" si="55"/>
        <v>0</v>
      </c>
      <c r="O346" s="223"/>
      <c r="P346" s="178"/>
      <c r="Q346" s="180">
        <f t="array" ref="Q346">+INDEX('Réel 2024'!$A$2:$AO$501,MATCH($A346,'Réel 2024'!$A$2:$A$501,0),MATCH(Q$2,'Réel 2024'!$A$2:$AO$2,0))</f>
        <v>0</v>
      </c>
      <c r="R346" s="223"/>
      <c r="S346" s="197">
        <f>L346-Q346</f>
        <v>0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>
        <f>+INDEX('Budget original'!$A$2:$AO$501,MATCH($A347,'Budget original'!$A$2:$A$501,0),MATCH(F$2,'Budget original'!$A$2:$AO$2,0))</f>
        <v>0</v>
      </c>
      <c r="G347" s="269"/>
      <c r="H347" s="178"/>
      <c r="I347" s="179"/>
      <c r="J347" s="223"/>
      <c r="K347" s="178"/>
      <c r="L347" s="180">
        <f>SUMIFS(BV_Data_An_Cour!$O:$O,BV_Data_An_Cour!$U:$U,$B347,BV_Data_An_Cour!$V:$V,$C347,BV_Data_An_Cour!$W:$W,$L$2)</f>
        <v>0</v>
      </c>
      <c r="M347" s="223"/>
      <c r="N347" s="225">
        <f t="shared" si="55"/>
        <v>0</v>
      </c>
      <c r="O347" s="223"/>
      <c r="P347" s="178"/>
      <c r="Q347" s="180">
        <f t="array" ref="Q347">+INDEX('Réel 2024'!$A$2:$AO$501,MATCH($A347,'Réel 2024'!$A$2:$A$501,0),MATCH(Q$2,'Réel 2024'!$A$2:$AO$2,0))</f>
        <v>0</v>
      </c>
      <c r="R347" s="223"/>
      <c r="S347" s="197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>
        <f>+INDEX('Budget original'!$A$2:$AO$501,MATCH($A348,'Budget original'!$A$2:$A$501,0),MATCH(F$2,'Budget original'!$A$2:$AO$2,0))</f>
        <v>0</v>
      </c>
      <c r="G348" s="269"/>
      <c r="H348" s="178"/>
      <c r="I348" s="179"/>
      <c r="J348" s="223"/>
      <c r="K348" s="178"/>
      <c r="L348" s="180">
        <f>SUMIFS(BV_Data_An_Cour!$O:$O,BV_Data_An_Cour!$U:$U,$B348,BV_Data_An_Cour!$V:$V,$C348,BV_Data_An_Cour!$W:$W,$L$2)</f>
        <v>0</v>
      </c>
      <c r="M348" s="223"/>
      <c r="N348" s="225">
        <f t="shared" si="55"/>
        <v>0</v>
      </c>
      <c r="O348" s="223"/>
      <c r="P348" s="178"/>
      <c r="Q348" s="180">
        <f t="array" ref="Q348">+INDEX('Réel 2024'!$A$2:$AO$501,MATCH($A348,'Réel 2024'!$A$2:$A$501,0),MATCH(Q$2,'Réel 2024'!$A$2:$AO$2,0))</f>
        <v>0</v>
      </c>
      <c r="R348" s="223"/>
      <c r="S348" s="197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0.19506166026492805</v>
      </c>
      <c r="F349" s="41">
        <f>+SUM(F331:F348)</f>
        <v>14378.211542801953</v>
      </c>
      <c r="G349" s="42"/>
      <c r="H349" s="40"/>
      <c r="I349" s="41"/>
      <c r="J349" s="42" t="s">
        <v>108</v>
      </c>
      <c r="K349" s="40">
        <f>L349/L$314</f>
        <v>0.15071595823788775</v>
      </c>
      <c r="L349" s="41">
        <f>+SUM(L331:L348)</f>
        <v>9367.8799999999992</v>
      </c>
      <c r="M349" s="44"/>
      <c r="N349" s="41">
        <f>+SUM(N331:N348)</f>
        <v>-5010.3315428019532</v>
      </c>
      <c r="O349" s="42" t="s">
        <v>108</v>
      </c>
      <c r="P349" s="40">
        <f>Q349/Q$314</f>
        <v>0.18459799225095971</v>
      </c>
      <c r="Q349" s="41">
        <f>+SUM(Q331:Q348)</f>
        <v>16789.300000000003</v>
      </c>
      <c r="R349" s="44"/>
      <c r="S349" s="285">
        <f>+SUM(S331:S348)</f>
        <v>-7421.42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0.63785919523582091</v>
      </c>
      <c r="F351" s="41">
        <f>F330+F349</f>
        <v>47017.309455716924</v>
      </c>
      <c r="G351" s="42"/>
      <c r="H351" s="40"/>
      <c r="I351" s="41"/>
      <c r="J351" s="42" t="s">
        <v>108</v>
      </c>
      <c r="K351" s="40">
        <f>L351/L$314</f>
        <v>0.57238223395187515</v>
      </c>
      <c r="L351" s="41">
        <f>L330+L349</f>
        <v>35576.910000000003</v>
      </c>
      <c r="M351" s="44"/>
      <c r="N351" s="46">
        <f>L351-F351</f>
        <v>-11440.399455716921</v>
      </c>
      <c r="O351" s="42" t="s">
        <v>108</v>
      </c>
      <c r="P351" s="40">
        <f>Q351/Q$314</f>
        <v>0.46935792954000133</v>
      </c>
      <c r="Q351" s="41">
        <f>Q330+Q349</f>
        <v>42688.39</v>
      </c>
      <c r="R351" s="44"/>
      <c r="S351" s="281">
        <f>L351-Q351</f>
        <v>-7111.4799999999959</v>
      </c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26693.800781291269</v>
      </c>
      <c r="G353" s="307"/>
      <c r="H353" s="305"/>
      <c r="I353" s="306"/>
      <c r="J353" s="308"/>
      <c r="K353" s="309"/>
      <c r="L353" s="306">
        <f>L314-L351</f>
        <v>26578.950000000004</v>
      </c>
      <c r="M353" s="308"/>
      <c r="N353" s="306">
        <f>L353-F353</f>
        <v>-114.85078129126487</v>
      </c>
      <c r="O353" s="308"/>
      <c r="P353" s="309"/>
      <c r="Q353" s="306">
        <f>Q314-Q351</f>
        <v>48262.219999999696</v>
      </c>
      <c r="R353" s="308"/>
      <c r="S353" s="310">
        <f>L353-Q353</f>
        <v>-21683.269999999691</v>
      </c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2025</v>
      </c>
      <c r="T356" s="23"/>
      <c r="U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79" t="s">
        <v>77</v>
      </c>
      <c r="E358" s="1280"/>
      <c r="F358" s="1281"/>
      <c r="G358" s="1284"/>
      <c r="H358" s="1280"/>
      <c r="I358" s="1281"/>
      <c r="J358" s="1284" t="s">
        <v>78</v>
      </c>
      <c r="K358" s="1280"/>
      <c r="L358" s="1281"/>
      <c r="M358" s="1284"/>
      <c r="N358" s="1281"/>
      <c r="O358" s="1279" t="s">
        <v>79</v>
      </c>
      <c r="P358" s="1280"/>
      <c r="Q358" s="1281"/>
      <c r="R358" s="1284" t="s">
        <v>80</v>
      </c>
      <c r="S358" s="1288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Top="1">
      <c r="A360" t="str">
        <f t="shared" si="57"/>
        <v>BoutiqueBoutique</v>
      </c>
      <c r="B360" s="24" t="s">
        <v>183</v>
      </c>
      <c r="C360" s="256" t="s">
        <v>183</v>
      </c>
      <c r="D360" s="201">
        <f>+INDEX('Budget original'!$A$2:$AO$501,MATCH($A360,'Budget original'!$A$2:$A$501,0),MATCH(D$2,'Budget original'!$A$2:$AO$2,0))</f>
        <v>0</v>
      </c>
      <c r="E360" s="202">
        <f>IFERROR(F360/D360,0)</f>
        <v>0</v>
      </c>
      <c r="F360" s="206">
        <f>+INDEX('Budget original'!$A$2:$AO$501,MATCH($A360,'Budget original'!$A$2:$A$501,0),MATCH(F$2,'Budget original'!$A$2:$AO$2,0))</f>
        <v>0</v>
      </c>
      <c r="G360" s="201"/>
      <c r="H360" s="202"/>
      <c r="I360" s="201"/>
      <c r="J360" s="219">
        <f>-SUMIFS(BV_Data_An_Cour!$O:$O,BV_Data_An_Cour!$X:$X,"Oui",BV_Data_An_Cour!$U:$U,$B360,BV_Data_An_Cour!$V:$V,$C360)</f>
        <v>0</v>
      </c>
      <c r="K360" s="71">
        <f>IF(J360&lt;=0,0,L360/J360)</f>
        <v>0</v>
      </c>
      <c r="L360" s="218">
        <f>-SUMIFS(BV_Data_An_Cour!$O:$O,BV_Data_An_Cour!$X:$X,"Oui",BV_Data_An_Cour!$U:$U,$B360,BV_Data_An_Cour!$V:$V,$C360)</f>
        <v>0</v>
      </c>
      <c r="M360" s="72"/>
      <c r="N360" s="73"/>
      <c r="O360" s="219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18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57">
        <f>L360-Q360</f>
        <v>0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7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58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7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7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7"/>
        <v>BoutiqueSalaires cadres</v>
      </c>
      <c r="B365" s="24" t="s">
        <v>183</v>
      </c>
      <c r="C365" s="267" t="s">
        <v>109</v>
      </c>
      <c r="D365" s="178"/>
      <c r="E365" s="178"/>
      <c r="F365" s="179">
        <f>+INDEX('Budget original'!$A$2:$AO$501,MATCH($A365,'Budget original'!$A$2:$A$501,0),MATCH(F$2,'Budget original'!$A$2:$AO$2,0))</f>
        <v>0</v>
      </c>
      <c r="G365" s="223"/>
      <c r="H365" s="178"/>
      <c r="I365" s="179"/>
      <c r="J365" s="223"/>
      <c r="K365" s="178"/>
      <c r="L365" s="180">
        <f>-SUMIFS(BV_Data_An_Cour!$O:$O,BV_Data_An_Cour!$U:$U,$B365,BV_Data_An_Cour!$V:$V,$C365,BV_Data_An_Cour!$W:$W,$L$2)</f>
        <v>0</v>
      </c>
      <c r="M365" s="223"/>
      <c r="N365" s="265"/>
      <c r="O365" s="223"/>
      <c r="P365" s="178"/>
      <c r="Q365" s="180">
        <f t="array" ref="Q365">+INDEX('Réel 2024'!$A$2:$AO$501,MATCH($A365,'Réel 2024'!$A$2:$A$501,0),MATCH(Q$2,'Réel 2024'!$A$2:$AO$2,0))</f>
        <v>0</v>
      </c>
      <c r="R365" s="223"/>
      <c r="S365" s="448">
        <f>L365-Q365</f>
        <v>0</v>
      </c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7"/>
        <v>BoutiqueSalaires commis</v>
      </c>
      <c r="B366" s="24" t="s">
        <v>183</v>
      </c>
      <c r="C366" s="268" t="s">
        <v>110</v>
      </c>
      <c r="D366" s="249"/>
      <c r="E366" s="178"/>
      <c r="F366" s="177">
        <f>+INDEX('Budget original'!$A$2:$AO$501,MATCH($A366,'Budget original'!$A$2:$A$501,0),MATCH(F$2,'Budget original'!$A$2:$AO$2,0))</f>
        <v>0</v>
      </c>
      <c r="G366" s="269"/>
      <c r="H366" s="178"/>
      <c r="I366" s="177"/>
      <c r="J366" s="223"/>
      <c r="K366" s="178"/>
      <c r="L366" s="177">
        <f>-SUMIFS(BV_Data_An_Cour!$O:$O,BV_Data_An_Cour!$U:$U,$B366,BV_Data_An_Cour!$V:$V,$C366,BV_Data_An_Cour!$W:$W,$L$2)</f>
        <v>0</v>
      </c>
      <c r="M366" s="223"/>
      <c r="N366" s="225"/>
      <c r="O366" s="223"/>
      <c r="P366" s="178"/>
      <c r="Q366" s="177">
        <f t="array" ref="Q366">+INDEX('Réel 2024'!$A$2:$AO$501,MATCH($A366,'Réel 2024'!$A$2:$A$501,0),MATCH(Q$2,'Réel 2024'!$A$2:$AO$2,0))</f>
        <v>0</v>
      </c>
      <c r="R366" s="223"/>
      <c r="S366" s="197">
        <f t="shared" ref="S366:S394" si="59"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7"/>
        <v>BoutiqueSalaires autres</v>
      </c>
      <c r="B367" s="24" t="s">
        <v>183</v>
      </c>
      <c r="C367" s="267" t="s">
        <v>111</v>
      </c>
      <c r="D367" s="270"/>
      <c r="E367" s="271"/>
      <c r="F367" s="179">
        <f>+INDEX('Budget original'!$A$2:$AO$501,MATCH($A367,'Budget original'!$A$2:$A$501,0),MATCH(F$2,'Budget original'!$A$2:$AO$2,0))</f>
        <v>0</v>
      </c>
      <c r="G367" s="272"/>
      <c r="H367" s="271"/>
      <c r="I367" s="179"/>
      <c r="J367" s="273"/>
      <c r="K367" s="271"/>
      <c r="L367" s="180">
        <f>-SUMIFS(BV_Data_An_Cour!$O:$O,BV_Data_An_Cour!$U:$U,$B367,BV_Data_An_Cour!$V:$V,$C367,BV_Data_An_Cour!$W:$W,$L$2)</f>
        <v>0</v>
      </c>
      <c r="M367" s="273"/>
      <c r="N367" s="274"/>
      <c r="O367" s="273"/>
      <c r="P367" s="271"/>
      <c r="Q367" s="180">
        <f t="array" ref="Q367">+INDEX('Réel 2024'!$A$2:$AO$501,MATCH($A367,'Réel 2024'!$A$2:$A$501,0),MATCH(Q$2,'Réel 2024'!$A$2:$AO$2,0))</f>
        <v>0</v>
      </c>
      <c r="R367" s="273"/>
      <c r="S367" s="199">
        <f t="shared" si="59"/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7"/>
        <v>BoutiqueSalaires spécialistes</v>
      </c>
      <c r="B368" s="24" t="s">
        <v>183</v>
      </c>
      <c r="C368" s="267" t="s">
        <v>112</v>
      </c>
      <c r="D368" s="249"/>
      <c r="E368" s="178"/>
      <c r="F368" s="179">
        <f>+INDEX('Budget original'!$A$2:$AO$501,MATCH($A368,'Budget original'!$A$2:$A$501,0),MATCH(F$2,'Budget original'!$A$2:$AO$2,0))</f>
        <v>0</v>
      </c>
      <c r="G368" s="269"/>
      <c r="H368" s="178"/>
      <c r="I368" s="179"/>
      <c r="J368" s="223"/>
      <c r="K368" s="178"/>
      <c r="L368" s="180">
        <f>-SUMIFS(BV_Data_An_Cour!$O:$O,BV_Data_An_Cour!$U:$U,$B368,BV_Data_An_Cour!$V:$V,$C368,BV_Data_An_Cour!$W:$W,$L$2)</f>
        <v>0</v>
      </c>
      <c r="M368" s="223"/>
      <c r="N368" s="225"/>
      <c r="O368" s="223"/>
      <c r="P368" s="178"/>
      <c r="Q368" s="180">
        <f t="array" ref="Q368">+INDEX('Réel 2024'!$A$2:$AO$501,MATCH($A368,'Réel 2024'!$A$2:$A$501,0),MATCH(Q$2,'Réel 2024'!$A$2:$AO$2,0))</f>
        <v>0</v>
      </c>
      <c r="R368" s="223"/>
      <c r="S368" s="197">
        <f t="shared" si="59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7"/>
        <v>Boutique[...]</v>
      </c>
      <c r="B369" s="24" t="s">
        <v>183</v>
      </c>
      <c r="C369" s="251" t="s">
        <v>42</v>
      </c>
      <c r="D369" s="249"/>
      <c r="E369" s="178"/>
      <c r="F369" s="179">
        <f>+INDEX('Budget original'!$A$2:$AO$501,MATCH($A369,'Budget original'!$A$2:$A$501,0),MATCH(F$2,'Budget original'!$A$2:$AO$2,0))</f>
        <v>0</v>
      </c>
      <c r="G369" s="269"/>
      <c r="H369" s="178"/>
      <c r="I369" s="179"/>
      <c r="J369" s="223"/>
      <c r="K369" s="178"/>
      <c r="L369" s="180">
        <f>-SUMIFS(BV_Data_An_Cour!$O:$O,BV_Data_An_Cour!$U:$U,$B369,BV_Data_An_Cour!$V:$V,$C369,BV_Data_An_Cour!$W:$W,$L$2)</f>
        <v>0</v>
      </c>
      <c r="M369" s="223"/>
      <c r="N369" s="225"/>
      <c r="O369" s="223"/>
      <c r="P369" s="178"/>
      <c r="Q369" s="180">
        <f t="array" ref="Q369">+INDEX('Réel 2024'!$A$2:$AO$501,MATCH($A369,'Réel 2024'!$A$2:$A$501,0),MATCH(Q$2,'Réel 2024'!$A$2:$AO$2,0))</f>
        <v>0</v>
      </c>
      <c r="R369" s="223"/>
      <c r="S369" s="197">
        <f t="shared" si="59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7"/>
        <v>Boutique[...]</v>
      </c>
      <c r="B370" s="24" t="s">
        <v>183</v>
      </c>
      <c r="C370" s="251" t="s">
        <v>42</v>
      </c>
      <c r="D370" s="249"/>
      <c r="E370" s="178"/>
      <c r="F370" s="179">
        <f>+INDEX('Budget original'!$A$2:$AO$501,MATCH($A370,'Budget original'!$A$2:$A$501,0),MATCH(F$2,'Budget original'!$A$2:$AO$2,0))</f>
        <v>0</v>
      </c>
      <c r="G370" s="269"/>
      <c r="H370" s="178"/>
      <c r="I370" s="179"/>
      <c r="J370" s="223"/>
      <c r="K370" s="178"/>
      <c r="L370" s="180">
        <f>-SUMIFS(BV_Data_An_Cour!$O:$O,BV_Data_An_Cour!$U:$U,$B370,BV_Data_An_Cour!$V:$V,$C370,BV_Data_An_Cour!$W:$W,$L$2)</f>
        <v>0</v>
      </c>
      <c r="M370" s="223"/>
      <c r="N370" s="225"/>
      <c r="O370" s="223"/>
      <c r="P370" s="178"/>
      <c r="Q370" s="180">
        <f t="array" ref="Q370">+INDEX('Réel 2024'!$A$2:$AO$501,MATCH($A370,'Réel 2024'!$A$2:$A$501,0),MATCH(Q$2,'Réel 2024'!$A$2:$AO$2,0))</f>
        <v>0</v>
      </c>
      <c r="R370" s="223"/>
      <c r="S370" s="197">
        <f t="shared" si="59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7"/>
        <v>Boutique[...]</v>
      </c>
      <c r="B371" s="24" t="s">
        <v>183</v>
      </c>
      <c r="C371" s="251" t="s">
        <v>42</v>
      </c>
      <c r="D371" s="249"/>
      <c r="E371" s="178"/>
      <c r="F371" s="179">
        <f>+INDEX('Budget original'!$A$2:$AO$501,MATCH($A371,'Budget original'!$A$2:$A$501,0),MATCH(F$2,'Budget original'!$A$2:$AO$2,0))</f>
        <v>0</v>
      </c>
      <c r="G371" s="269"/>
      <c r="H371" s="178"/>
      <c r="I371" s="179"/>
      <c r="J371" s="223"/>
      <c r="K371" s="178"/>
      <c r="L371" s="180">
        <f>-SUMIFS(BV_Data_An_Cour!$O:$O,BV_Data_An_Cour!$U:$U,$B371,BV_Data_An_Cour!$V:$V,$C371,BV_Data_An_Cour!$W:$W,$L$2)</f>
        <v>0</v>
      </c>
      <c r="M371" s="223"/>
      <c r="N371" s="225"/>
      <c r="O371" s="223"/>
      <c r="P371" s="178"/>
      <c r="Q371" s="180">
        <f t="array" ref="Q371">+INDEX('Réel 2024'!$A$2:$AO$501,MATCH($A371,'Réel 2024'!$A$2:$A$501,0),MATCH(Q$2,'Réel 2024'!$A$2:$AO$2,0))</f>
        <v>0</v>
      </c>
      <c r="R371" s="223"/>
      <c r="S371" s="197">
        <f t="shared" si="59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7"/>
        <v>BoutiqueSalaires en absences</v>
      </c>
      <c r="B372" s="24" t="s">
        <v>183</v>
      </c>
      <c r="C372" s="268" t="s">
        <v>113</v>
      </c>
      <c r="D372" s="249"/>
      <c r="E372" s="178"/>
      <c r="F372" s="177">
        <f>+INDEX('Budget original'!$A$2:$AO$501,MATCH($A372,'Budget original'!$A$2:$A$501,0),MATCH(F$2,'Budget original'!$A$2:$AO$2,0))</f>
        <v>0</v>
      </c>
      <c r="G372" s="269"/>
      <c r="H372" s="178"/>
      <c r="I372" s="177"/>
      <c r="J372" s="223"/>
      <c r="K372" s="178"/>
      <c r="L372" s="177">
        <f>-SUMIFS(BV_Data_An_Cour!$O:$O,BV_Data_An_Cour!$U:$U,$B372,BV_Data_An_Cour!$V:$V,$C372,BV_Data_An_Cour!$W:$W,$L$2)</f>
        <v>0</v>
      </c>
      <c r="M372" s="223"/>
      <c r="N372" s="225"/>
      <c r="O372" s="223"/>
      <c r="P372" s="178"/>
      <c r="Q372" s="177">
        <f t="array" ref="Q372">+INDEX('Réel 2024'!$A$2:$AO$501,MATCH($A372,'Réel 2024'!$A$2:$A$501,0),MATCH(Q$2,'Réel 2024'!$A$2:$AO$2,0))</f>
        <v>0</v>
      </c>
      <c r="R372" s="223"/>
      <c r="S372" s="197">
        <f t="shared" si="59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7"/>
        <v>BoutiqueDéduction à la source</v>
      </c>
      <c r="B373" s="24" t="s">
        <v>183</v>
      </c>
      <c r="C373" s="267" t="s">
        <v>114</v>
      </c>
      <c r="D373" s="270"/>
      <c r="E373" s="271"/>
      <c r="F373" s="179">
        <f>+INDEX('Budget original'!$A$2:$AO$501,MATCH($A373,'Budget original'!$A$2:$A$501,0),MATCH(F$2,'Budget original'!$A$2:$AO$2,0))</f>
        <v>0</v>
      </c>
      <c r="G373" s="272"/>
      <c r="H373" s="271"/>
      <c r="I373" s="179"/>
      <c r="J373" s="273"/>
      <c r="K373" s="271"/>
      <c r="L373" s="180">
        <f>-SUMIFS(BV_Data_An_Cour!$O:$O,BV_Data_An_Cour!$U:$U,$B373,BV_Data_An_Cour!$V:$V,$C373,BV_Data_An_Cour!$W:$W,$L$2)</f>
        <v>0</v>
      </c>
      <c r="M373" s="273"/>
      <c r="N373" s="274"/>
      <c r="O373" s="273"/>
      <c r="P373" s="271"/>
      <c r="Q373" s="180">
        <f t="array" ref="Q373">+INDEX('Réel 2024'!$A$2:$AO$501,MATCH($A373,'Réel 2024'!$A$2:$A$501,0),MATCH(Q$2,'Réel 2024'!$A$2:$AO$2,0))</f>
        <v>0</v>
      </c>
      <c r="R373" s="273"/>
      <c r="S373" s="199">
        <f t="shared" si="59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7"/>
        <v>BoutiqueBénéfices marginaux</v>
      </c>
      <c r="B374" s="24" t="s">
        <v>183</v>
      </c>
      <c r="C374" s="267" t="s">
        <v>115</v>
      </c>
      <c r="D374" s="249"/>
      <c r="E374" s="178"/>
      <c r="F374" s="179">
        <f>+INDEX('Budget original'!$A$2:$AO$501,MATCH($A374,'Budget original'!$A$2:$A$501,0),MATCH(F$2,'Budget original'!$A$2:$AO$2,0))</f>
        <v>0</v>
      </c>
      <c r="G374" s="269"/>
      <c r="H374" s="178"/>
      <c r="I374" s="179"/>
      <c r="J374" s="223"/>
      <c r="K374" s="178"/>
      <c r="L374" s="180">
        <f>-SUMIFS(BV_Data_An_Cour!$O:$O,BV_Data_An_Cour!$U:$U,$B374,BV_Data_An_Cour!$V:$V,$C374,BV_Data_An_Cour!$W:$W,$L$2)</f>
        <v>0</v>
      </c>
      <c r="M374" s="223"/>
      <c r="N374" s="225"/>
      <c r="O374" s="223"/>
      <c r="P374" s="178"/>
      <c r="Q374" s="180">
        <f t="array" ref="Q374">+INDEX('Réel 2024'!$A$2:$AO$501,MATCH($A374,'Réel 2024'!$A$2:$A$501,0),MATCH(Q$2,'Réel 2024'!$A$2:$AO$2,0))</f>
        <v>0</v>
      </c>
      <c r="R374" s="223"/>
      <c r="S374" s="197">
        <f t="shared" si="59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7"/>
        <v>BoutiqueCsst</v>
      </c>
      <c r="B375" s="24" t="s">
        <v>183</v>
      </c>
      <c r="C375" s="267" t="s">
        <v>116</v>
      </c>
      <c r="D375" s="249"/>
      <c r="E375" s="178"/>
      <c r="F375" s="179">
        <f>+INDEX('Budget original'!$A$2:$AO$501,MATCH($A375,'Budget original'!$A$2:$A$501,0),MATCH(F$2,'Budget original'!$A$2:$AO$2,0))</f>
        <v>0</v>
      </c>
      <c r="G375" s="269"/>
      <c r="H375" s="178"/>
      <c r="I375" s="179"/>
      <c r="J375" s="223"/>
      <c r="K375" s="178"/>
      <c r="L375" s="180">
        <f>-SUMIFS(BV_Data_An_Cour!$O:$O,BV_Data_An_Cour!$U:$U,$B375,BV_Data_An_Cour!$V:$V,$C375,BV_Data_An_Cour!$W:$W,$L$2)</f>
        <v>0</v>
      </c>
      <c r="M375" s="223"/>
      <c r="N375" s="225"/>
      <c r="O375" s="223"/>
      <c r="P375" s="178"/>
      <c r="Q375" s="180">
        <f t="array" ref="Q375">+INDEX('Réel 2024'!$A$2:$AO$501,MATCH($A375,'Réel 2024'!$A$2:$A$501,0),MATCH(Q$2,'Réel 2024'!$A$2:$AO$2,0))</f>
        <v>0</v>
      </c>
      <c r="R375" s="223"/>
      <c r="S375" s="197">
        <f t="shared" si="59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7"/>
        <v>Boutique[...]</v>
      </c>
      <c r="B376" s="24" t="s">
        <v>183</v>
      </c>
      <c r="C376" s="251" t="s">
        <v>42</v>
      </c>
      <c r="D376" s="275"/>
      <c r="E376" s="276"/>
      <c r="F376" s="179">
        <f>+INDEX('Budget original'!$A$2:$AO$501,MATCH($A376,'Budget original'!$A$2:$A$501,0),MATCH(F$2,'Budget original'!$A$2:$AO$2,0))</f>
        <v>0</v>
      </c>
      <c r="G376" s="277"/>
      <c r="H376" s="276"/>
      <c r="I376" s="179"/>
      <c r="J376" s="278"/>
      <c r="K376" s="276"/>
      <c r="L376" s="180">
        <f>-SUMIFS(BV_Data_An_Cour!$O:$O,BV_Data_An_Cour!$U:$U,$B376,BV_Data_An_Cour!$V:$V,$C376,BV_Data_An_Cour!$W:$W,$L$2)</f>
        <v>0</v>
      </c>
      <c r="M376" s="278"/>
      <c r="N376" s="279"/>
      <c r="O376" s="278"/>
      <c r="P376" s="276"/>
      <c r="Q376" s="180">
        <f t="array" ref="Q376">+INDEX('Réel 2024'!$A$2:$AO$501,MATCH($A376,'Réel 2024'!$A$2:$A$501,0),MATCH(Q$2,'Réel 2024'!$A$2:$AO$2,0))</f>
        <v>0</v>
      </c>
      <c r="R376" s="278"/>
      <c r="S376" s="200">
        <f t="shared" si="59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59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7"/>
        <v>BoutiquePublicité 2</v>
      </c>
      <c r="B378" s="24" t="s">
        <v>183</v>
      </c>
      <c r="C378" s="282" t="s">
        <v>118</v>
      </c>
      <c r="D378" s="249"/>
      <c r="E378" s="178"/>
      <c r="F378" s="179">
        <f>+INDEX('Budget original'!$A$2:$AO$501,MATCH($A378,'Budget original'!$A$2:$A$501,0),MATCH(F$2,'Budget original'!$A$2:$AO$2,0))</f>
        <v>0</v>
      </c>
      <c r="G378" s="269"/>
      <c r="H378" s="178"/>
      <c r="I378" s="179"/>
      <c r="J378" s="223"/>
      <c r="K378" s="178"/>
      <c r="L378" s="180">
        <f>-SUMIFS(BV_Data_An_Cour!$O:$O,BV_Data_An_Cour!$U:$U,$B378,BV_Data_An_Cour!$V:$V,$C378,BV_Data_An_Cour!$W:$W,$L$2)</f>
        <v>0</v>
      </c>
      <c r="M378" s="223"/>
      <c r="N378" s="225"/>
      <c r="O378" s="223"/>
      <c r="P378" s="178"/>
      <c r="Q378" s="180">
        <f t="array" ref="Q378">+INDEX('Réel 2024'!$A$2:$AO$501,MATCH($A378,'Réel 2024'!$A$2:$A$501,0),MATCH(Q$2,'Réel 2024'!$A$2:$AO$2,0))</f>
        <v>0</v>
      </c>
      <c r="R378" s="223"/>
      <c r="S378" s="197">
        <f t="shared" si="59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7"/>
        <v>BoutiqueService gratuit 2</v>
      </c>
      <c r="B379" s="24" t="s">
        <v>183</v>
      </c>
      <c r="C379" s="267" t="s">
        <v>119</v>
      </c>
      <c r="D379" s="249"/>
      <c r="E379" s="178"/>
      <c r="F379" s="179">
        <f>+INDEX('Budget original'!$A$2:$AO$501,MATCH($A379,'Budget original'!$A$2:$A$501,0),MATCH(F$2,'Budget original'!$A$2:$AO$2,0))</f>
        <v>0</v>
      </c>
      <c r="G379" s="269"/>
      <c r="H379" s="178"/>
      <c r="I379" s="179"/>
      <c r="J379" s="223"/>
      <c r="K379" s="178"/>
      <c r="L379" s="180">
        <f>-SUMIFS(BV_Data_An_Cour!$O:$O,BV_Data_An_Cour!$U:$U,$B379,BV_Data_An_Cour!$V:$V,$C379,BV_Data_An_Cour!$W:$W,$L$2)</f>
        <v>0</v>
      </c>
      <c r="M379" s="223"/>
      <c r="N379" s="225"/>
      <c r="O379" s="223"/>
      <c r="P379" s="178"/>
      <c r="Q379" s="180">
        <f t="array" ref="Q379">+INDEX('Réel 2024'!$A$2:$AO$501,MATCH($A379,'Réel 2024'!$A$2:$A$501,0),MATCH(Q$2,'Réel 2024'!$A$2:$AO$2,0))</f>
        <v>0</v>
      </c>
      <c r="R379" s="223"/>
      <c r="S379" s="197">
        <f t="shared" si="59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f>+INDEX('Budget original'!$A$2:$AO$501,MATCH($A380,'Budget original'!$A$2:$A$501,0),MATCH(F$2,'Budget original'!$A$2:$AO$2,0))</f>
        <v>0</v>
      </c>
      <c r="G380" s="277"/>
      <c r="H380" s="276"/>
      <c r="I380" s="177"/>
      <c r="J380" s="278"/>
      <c r="K380" s="276"/>
      <c r="L380" s="177">
        <f>-SUMIFS(BV_Data_An_Cour!$O:$O,BV_Data_An_Cour!$U:$U,$B380,BV_Data_An_Cour!$V:$V,$C380,BV_Data_An_Cour!$W:$W,$L$2)</f>
        <v>0</v>
      </c>
      <c r="M380" s="278"/>
      <c r="N380" s="279"/>
      <c r="O380" s="278"/>
      <c r="P380" s="276"/>
      <c r="Q380" s="177">
        <f t="array" ref="Q380">+INDEX('Réel 2024'!$A$2:$AO$501,MATCH($A380,'Réel 2024'!$A$2:$A$501,0),MATCH(Q$2,'Réel 2024'!$A$2:$AO$2,0))</f>
        <v>0</v>
      </c>
      <c r="R380" s="278"/>
      <c r="S380" s="200">
        <f t="shared" si="59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7"/>
        <v>BoutiqueInformatique</v>
      </c>
      <c r="B381" s="24" t="s">
        <v>183</v>
      </c>
      <c r="C381" s="267" t="s">
        <v>121</v>
      </c>
      <c r="D381" s="249"/>
      <c r="E381" s="178"/>
      <c r="F381" s="179">
        <f>+INDEX('Budget original'!$A$2:$AO$501,MATCH($A381,'Budget original'!$A$2:$A$501,0),MATCH(F$2,'Budget original'!$A$2:$AO$2,0))</f>
        <v>0</v>
      </c>
      <c r="G381" s="269"/>
      <c r="H381" s="178"/>
      <c r="I381" s="179"/>
      <c r="J381" s="223"/>
      <c r="K381" s="178"/>
      <c r="L381" s="180">
        <f>-SUMIFS(BV_Data_An_Cour!$O:$O,BV_Data_An_Cour!$U:$U,$B381,BV_Data_An_Cour!$V:$V,$C381,BV_Data_An_Cour!$W:$W,$L$2)</f>
        <v>0</v>
      </c>
      <c r="M381" s="223"/>
      <c r="N381" s="225"/>
      <c r="O381" s="223"/>
      <c r="P381" s="178"/>
      <c r="Q381" s="180">
        <f t="array" ref="Q381">+INDEX('Réel 2024'!$A$2:$AO$501,MATCH($A381,'Réel 2024'!$A$2:$A$501,0),MATCH(Q$2,'Réel 2024'!$A$2:$AO$2,0))</f>
        <v>0</v>
      </c>
      <c r="R381" s="223"/>
      <c r="S381" s="197">
        <f t="shared" si="59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7"/>
        <v>BoutiqueFrais de déplacement</v>
      </c>
      <c r="B382" s="24" t="s">
        <v>183</v>
      </c>
      <c r="C382" s="267" t="s">
        <v>122</v>
      </c>
      <c r="D382" s="249"/>
      <c r="E382" s="178"/>
      <c r="F382" s="179">
        <f>+INDEX('Budget original'!$A$2:$AO$501,MATCH($A382,'Budget original'!$A$2:$A$501,0),MATCH(F$2,'Budget original'!$A$2:$AO$2,0))</f>
        <v>0</v>
      </c>
      <c r="G382" s="269"/>
      <c r="H382" s="178"/>
      <c r="I382" s="179"/>
      <c r="J382" s="223"/>
      <c r="K382" s="178"/>
      <c r="L382" s="180">
        <f>-SUMIFS(BV_Data_An_Cour!$O:$O,BV_Data_An_Cour!$U:$U,$B382,BV_Data_An_Cour!$V:$V,$C382,BV_Data_An_Cour!$W:$W,$L$2)</f>
        <v>0</v>
      </c>
      <c r="M382" s="223"/>
      <c r="N382" s="225"/>
      <c r="O382" s="223"/>
      <c r="P382" s="178"/>
      <c r="Q382" s="180">
        <f t="array" ref="Q382">+INDEX('Réel 2024'!$A$2:$AO$501,MATCH($A382,'Réel 2024'!$A$2:$A$501,0),MATCH(Q$2,'Réel 2024'!$A$2:$AO$2,0))</f>
        <v>0</v>
      </c>
      <c r="R382" s="223"/>
      <c r="S382" s="197">
        <f t="shared" si="59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7"/>
        <v>BoutiqueServices extérieurs</v>
      </c>
      <c r="B383" s="24" t="s">
        <v>183</v>
      </c>
      <c r="C383" s="267" t="s">
        <v>123</v>
      </c>
      <c r="D383" s="275"/>
      <c r="E383" s="276"/>
      <c r="F383" s="177">
        <f>+INDEX('Budget original'!$A$2:$AO$501,MATCH($A383,'Budget original'!$A$2:$A$501,0),MATCH(F$2,'Budget original'!$A$2:$AO$2,0))</f>
        <v>0</v>
      </c>
      <c r="G383" s="277"/>
      <c r="H383" s="276"/>
      <c r="I383" s="177"/>
      <c r="J383" s="278"/>
      <c r="K383" s="276"/>
      <c r="L383" s="177">
        <f>-SUMIFS(BV_Data_An_Cour!$O:$O,BV_Data_An_Cour!$U:$U,$B383,BV_Data_An_Cour!$V:$V,$C383,BV_Data_An_Cour!$W:$W,$L$2)</f>
        <v>0</v>
      </c>
      <c r="M383" s="278"/>
      <c r="N383" s="279"/>
      <c r="O383" s="278"/>
      <c r="P383" s="276"/>
      <c r="Q383" s="177">
        <f t="array" ref="Q383">+INDEX('Réel 2024'!$A$2:$AO$501,MATCH($A383,'Réel 2024'!$A$2:$A$501,0),MATCH(Q$2,'Réel 2024'!$A$2:$AO$2,0))</f>
        <v>0</v>
      </c>
      <c r="R383" s="278"/>
      <c r="S383" s="200">
        <f t="shared" si="59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7"/>
        <v>BoutiqueFournitures autres</v>
      </c>
      <c r="B384" s="24" t="s">
        <v>183</v>
      </c>
      <c r="C384" s="282" t="s">
        <v>124</v>
      </c>
      <c r="D384" s="249"/>
      <c r="E384" s="178"/>
      <c r="F384" s="179">
        <f>+INDEX('Budget original'!$A$2:$AO$501,MATCH($A384,'Budget original'!$A$2:$A$501,0),MATCH(F$2,'Budget original'!$A$2:$AO$2,0))</f>
        <v>0</v>
      </c>
      <c r="G384" s="269"/>
      <c r="H384" s="178"/>
      <c r="I384" s="179"/>
      <c r="J384" s="223"/>
      <c r="K384" s="178"/>
      <c r="L384" s="180">
        <f>-SUMIFS(BV_Data_An_Cour!$O:$O,BV_Data_An_Cour!$U:$U,$B384,BV_Data_An_Cour!$V:$V,$C384,BV_Data_An_Cour!$W:$W,$L$2)</f>
        <v>0</v>
      </c>
      <c r="M384" s="223"/>
      <c r="N384" s="225"/>
      <c r="O384" s="223"/>
      <c r="P384" s="178"/>
      <c r="Q384" s="180">
        <f t="array" ref="Q384">+INDEX('Réel 2024'!$A$2:$AO$501,MATCH($A384,'Réel 2024'!$A$2:$A$501,0),MATCH(Q$2,'Réel 2024'!$A$2:$AO$2,0))</f>
        <v>0</v>
      </c>
      <c r="R384" s="223"/>
      <c r="S384" s="197">
        <f t="shared" si="59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7"/>
        <v>BoutiqueUniformes</v>
      </c>
      <c r="B385" s="24" t="s">
        <v>183</v>
      </c>
      <c r="C385" s="267" t="s">
        <v>125</v>
      </c>
      <c r="D385" s="249"/>
      <c r="E385" s="178"/>
      <c r="F385" s="179">
        <f>+INDEX('Budget original'!$A$2:$AO$501,MATCH($A385,'Budget original'!$A$2:$A$501,0),MATCH(F$2,'Budget original'!$A$2:$AO$2,0))</f>
        <v>0</v>
      </c>
      <c r="G385" s="269"/>
      <c r="H385" s="178"/>
      <c r="I385" s="179"/>
      <c r="J385" s="223"/>
      <c r="K385" s="178"/>
      <c r="L385" s="180">
        <f>-SUMIFS(BV_Data_An_Cour!$O:$O,BV_Data_An_Cour!$U:$U,$B385,BV_Data_An_Cour!$V:$V,$C385,BV_Data_An_Cour!$W:$W,$L$2)</f>
        <v>0</v>
      </c>
      <c r="M385" s="223"/>
      <c r="N385" s="225"/>
      <c r="O385" s="223"/>
      <c r="P385" s="178"/>
      <c r="Q385" s="180">
        <f t="array" ref="Q385">+INDEX('Réel 2024'!$A$2:$AO$501,MATCH($A385,'Réel 2024'!$A$2:$A$501,0),MATCH(Q$2,'Réel 2024'!$A$2:$AO$2,0))</f>
        <v>0</v>
      </c>
      <c r="R385" s="223"/>
      <c r="S385" s="197">
        <f t="shared" si="59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7"/>
        <v>BoutiquePapeterie</v>
      </c>
      <c r="B386" s="24" t="s">
        <v>183</v>
      </c>
      <c r="C386" s="267" t="s">
        <v>126</v>
      </c>
      <c r="D386" s="249"/>
      <c r="E386" s="178"/>
      <c r="F386" s="179">
        <f>+INDEX('Budget original'!$A$2:$AO$501,MATCH($A386,'Budget original'!$A$2:$A$501,0),MATCH(F$2,'Budget original'!$A$2:$AO$2,0))</f>
        <v>0</v>
      </c>
      <c r="G386" s="269"/>
      <c r="H386" s="178"/>
      <c r="I386" s="179"/>
      <c r="J386" s="223"/>
      <c r="K386" s="178"/>
      <c r="L386" s="180">
        <f>-SUMIFS(BV_Data_An_Cour!$O:$O,BV_Data_An_Cour!$U:$U,$B386,BV_Data_An_Cour!$V:$V,$C386,BV_Data_An_Cour!$W:$W,$L$2)</f>
        <v>0</v>
      </c>
      <c r="M386" s="223"/>
      <c r="N386" s="225"/>
      <c r="O386" s="223"/>
      <c r="P386" s="178"/>
      <c r="Q386" s="180">
        <f t="array" ref="Q386">+INDEX('Réel 2024'!$A$2:$AO$501,MATCH($A386,'Réel 2024'!$A$2:$A$501,0),MATCH(Q$2,'Réel 2024'!$A$2:$AO$2,0))</f>
        <v>0</v>
      </c>
      <c r="R386" s="223"/>
      <c r="S386" s="197">
        <f t="shared" si="59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7"/>
        <v>BoutiqueTéléphone</v>
      </c>
      <c r="B387" s="24" t="s">
        <v>183</v>
      </c>
      <c r="C387" s="267" t="s">
        <v>127</v>
      </c>
      <c r="D387" s="249"/>
      <c r="E387" s="178"/>
      <c r="F387" s="179">
        <f>+INDEX('Budget original'!$A$2:$AO$501,MATCH($A387,'Budget original'!$A$2:$A$501,0),MATCH(F$2,'Budget original'!$A$2:$AO$2,0))</f>
        <v>0</v>
      </c>
      <c r="G387" s="269"/>
      <c r="H387" s="178"/>
      <c r="I387" s="179"/>
      <c r="J387" s="223"/>
      <c r="K387" s="178"/>
      <c r="L387" s="180">
        <f>-SUMIFS(BV_Data_An_Cour!$O:$O,BV_Data_An_Cour!$U:$U,$B387,BV_Data_An_Cour!$V:$V,$C387,BV_Data_An_Cour!$W:$W,$L$2)</f>
        <v>0</v>
      </c>
      <c r="M387" s="223"/>
      <c r="N387" s="225"/>
      <c r="O387" s="223"/>
      <c r="P387" s="178"/>
      <c r="Q387" s="180">
        <f t="array" ref="Q387">+INDEX('Réel 2024'!$A$2:$AO$501,MATCH($A387,'Réel 2024'!$A$2:$A$501,0),MATCH(Q$2,'Réel 2024'!$A$2:$AO$2,0))</f>
        <v>0</v>
      </c>
      <c r="R387" s="223"/>
      <c r="S387" s="197">
        <f t="shared" si="59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7"/>
        <v>BoutiqueFrais postaux</v>
      </c>
      <c r="B388" s="24" t="s">
        <v>183</v>
      </c>
      <c r="C388" s="267" t="s">
        <v>128</v>
      </c>
      <c r="D388" s="249"/>
      <c r="E388" s="178"/>
      <c r="F388" s="179">
        <f>+INDEX('Budget original'!$A$2:$AO$501,MATCH($A388,'Budget original'!$A$2:$A$501,0),MATCH(F$2,'Budget original'!$A$2:$AO$2,0))</f>
        <v>0</v>
      </c>
      <c r="G388" s="269"/>
      <c r="H388" s="178"/>
      <c r="I388" s="179"/>
      <c r="J388" s="223"/>
      <c r="K388" s="178"/>
      <c r="L388" s="180">
        <f>-SUMIFS(BV_Data_An_Cour!$O:$O,BV_Data_An_Cour!$U:$U,$B388,BV_Data_An_Cour!$V:$V,$C388,BV_Data_An_Cour!$W:$W,$L$2)</f>
        <v>0</v>
      </c>
      <c r="M388" s="223"/>
      <c r="N388" s="225"/>
      <c r="O388" s="223"/>
      <c r="P388" s="178"/>
      <c r="Q388" s="180">
        <f t="array" ref="Q388">+INDEX('Réel 2024'!$A$2:$AO$501,MATCH($A388,'Réel 2024'!$A$2:$A$501,0),MATCH(Q$2,'Réel 2024'!$A$2:$AO$2,0))</f>
        <v>0</v>
      </c>
      <c r="R388" s="223"/>
      <c r="S388" s="197">
        <f t="shared" si="59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7"/>
        <v>BoutiqueDivers</v>
      </c>
      <c r="B389" s="24" t="s">
        <v>183</v>
      </c>
      <c r="C389" s="267" t="s">
        <v>129</v>
      </c>
      <c r="D389" s="249"/>
      <c r="E389" s="178"/>
      <c r="F389" s="179">
        <f>+INDEX('Budget original'!$A$2:$AO$501,MATCH($A389,'Budget original'!$A$2:$A$501,0),MATCH(F$2,'Budget original'!$A$2:$AO$2,0))</f>
        <v>0</v>
      </c>
      <c r="G389" s="269"/>
      <c r="H389" s="178"/>
      <c r="I389" s="179"/>
      <c r="J389" s="223"/>
      <c r="K389" s="178"/>
      <c r="L389" s="180">
        <f>-SUMIFS(BV_Data_An_Cour!$O:$O,BV_Data_An_Cour!$U:$U,$B389,BV_Data_An_Cour!$V:$V,$C389,BV_Data_An_Cour!$W:$W,$L$2)</f>
        <v>0</v>
      </c>
      <c r="M389" s="223"/>
      <c r="N389" s="225"/>
      <c r="O389" s="223"/>
      <c r="P389" s="178"/>
      <c r="Q389" s="180">
        <f t="array" ref="Q389">+INDEX('Réel 2024'!$A$2:$AO$501,MATCH($A389,'Réel 2024'!$A$2:$A$501,0),MATCH(Q$2,'Réel 2024'!$A$2:$AO$2,0))</f>
        <v>0</v>
      </c>
      <c r="R389" s="223"/>
      <c r="S389" s="197">
        <f t="shared" si="59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7"/>
        <v>BoutiqueFormation</v>
      </c>
      <c r="B390" s="24" t="s">
        <v>183</v>
      </c>
      <c r="C390" s="267" t="s">
        <v>130</v>
      </c>
      <c r="D390" s="249"/>
      <c r="E390" s="178"/>
      <c r="F390" s="179">
        <f>+INDEX('Budget original'!$A$2:$AO$501,MATCH($A390,'Budget original'!$A$2:$A$501,0),MATCH(F$2,'Budget original'!$A$2:$AO$2,0))</f>
        <v>0</v>
      </c>
      <c r="G390" s="269"/>
      <c r="H390" s="178"/>
      <c r="I390" s="179"/>
      <c r="J390" s="223"/>
      <c r="K390" s="178"/>
      <c r="L390" s="180">
        <f>-SUMIFS(BV_Data_An_Cour!$O:$O,BV_Data_An_Cour!$U:$U,$B390,BV_Data_An_Cour!$V:$V,$C390,BV_Data_An_Cour!$W:$W,$L$2)</f>
        <v>0</v>
      </c>
      <c r="M390" s="223"/>
      <c r="N390" s="225"/>
      <c r="O390" s="223"/>
      <c r="P390" s="178"/>
      <c r="Q390" s="180">
        <f t="array" ref="Q390">+INDEX('Réel 2024'!$A$2:$AO$501,MATCH($A390,'Réel 2024'!$A$2:$A$501,0),MATCH(Q$2,'Réel 2024'!$A$2:$AO$2,0))</f>
        <v>0</v>
      </c>
      <c r="R390" s="223"/>
      <c r="S390" s="197">
        <f t="shared" si="59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7"/>
        <v>BoutiqueFrais bancaires</v>
      </c>
      <c r="B391" s="24" t="s">
        <v>183</v>
      </c>
      <c r="C391" s="267" t="s">
        <v>131</v>
      </c>
      <c r="D391" s="249"/>
      <c r="E391" s="178"/>
      <c r="F391" s="179">
        <f>+INDEX('Budget original'!$A$2:$AO$501,MATCH($A391,'Budget original'!$A$2:$A$501,0),MATCH(F$2,'Budget original'!$A$2:$AO$2,0))</f>
        <v>0</v>
      </c>
      <c r="G391" s="269"/>
      <c r="H391" s="178"/>
      <c r="I391" s="179"/>
      <c r="J391" s="223"/>
      <c r="K391" s="178"/>
      <c r="L391" s="180">
        <f>-SUMIFS(BV_Data_An_Cour!$O:$O,BV_Data_An_Cour!$U:$U,$B391,BV_Data_An_Cour!$V:$V,$C391,BV_Data_An_Cour!$W:$W,$L$2)</f>
        <v>0</v>
      </c>
      <c r="M391" s="223"/>
      <c r="N391" s="225"/>
      <c r="O391" s="223"/>
      <c r="P391" s="178"/>
      <c r="Q391" s="180">
        <f t="array" ref="Q391">+INDEX('Réel 2024'!$A$2:$AO$501,MATCH($A391,'Réel 2024'!$A$2:$A$501,0),MATCH(Q$2,'Réel 2024'!$A$2:$AO$2,0))</f>
        <v>0</v>
      </c>
      <c r="R391" s="223"/>
      <c r="S391" s="197">
        <f t="shared" si="59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7"/>
        <v>Boutique[...]</v>
      </c>
      <c r="B392" s="24" t="s">
        <v>183</v>
      </c>
      <c r="C392" s="267" t="s">
        <v>42</v>
      </c>
      <c r="D392" s="249"/>
      <c r="E392" s="178"/>
      <c r="F392" s="179">
        <f>+INDEX('Budget original'!$A$2:$AO$501,MATCH($A392,'Budget original'!$A$2:$A$501,0),MATCH(F$2,'Budget original'!$A$2:$AO$2,0))</f>
        <v>0</v>
      </c>
      <c r="G392" s="269"/>
      <c r="H392" s="178"/>
      <c r="I392" s="179"/>
      <c r="J392" s="223"/>
      <c r="K392" s="178"/>
      <c r="L392" s="180">
        <f>-SUMIFS(BV_Data_An_Cour!$O:$O,BV_Data_An_Cour!$U:$U,$B392,BV_Data_An_Cour!$V:$V,$C392,BV_Data_An_Cour!$W:$W,$L$2)</f>
        <v>0</v>
      </c>
      <c r="M392" s="223"/>
      <c r="N392" s="225"/>
      <c r="O392" s="223"/>
      <c r="P392" s="178"/>
      <c r="Q392" s="180">
        <f t="array" ref="Q392">+INDEX('Réel 2024'!$A$2:$AO$501,MATCH($A392,'Réel 2024'!$A$2:$A$501,0),MATCH(Q$2,'Réel 2024'!$A$2:$AO$2,0))</f>
        <v>0</v>
      </c>
      <c r="R392" s="223"/>
      <c r="S392" s="197">
        <f t="shared" si="59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7"/>
        <v>Boutique[...]</v>
      </c>
      <c r="B393" s="24" t="s">
        <v>183</v>
      </c>
      <c r="C393" s="267" t="s">
        <v>42</v>
      </c>
      <c r="D393" s="249"/>
      <c r="E393" s="178"/>
      <c r="F393" s="179">
        <f>+INDEX('Budget original'!$A$2:$AO$501,MATCH($A393,'Budget original'!$A$2:$A$501,0),MATCH(F$2,'Budget original'!$A$2:$AO$2,0))</f>
        <v>0</v>
      </c>
      <c r="G393" s="269"/>
      <c r="H393" s="178"/>
      <c r="I393" s="179"/>
      <c r="J393" s="223"/>
      <c r="K393" s="178"/>
      <c r="L393" s="180">
        <f>-SUMIFS(BV_Data_An_Cour!$O:$O,BV_Data_An_Cour!$U:$U,$B393,BV_Data_An_Cour!$V:$V,$C393,BV_Data_An_Cour!$W:$W,$L$2)</f>
        <v>0</v>
      </c>
      <c r="M393" s="223"/>
      <c r="N393" s="225"/>
      <c r="O393" s="223"/>
      <c r="P393" s="178"/>
      <c r="Q393" s="180">
        <f t="array" ref="Q393">+INDEX('Réel 2024'!$A$2:$AO$501,MATCH($A393,'Réel 2024'!$A$2:$A$501,0),MATCH(Q$2,'Réel 2024'!$A$2:$AO$2,0))</f>
        <v>0</v>
      </c>
      <c r="R393" s="223"/>
      <c r="S393" s="197">
        <f t="shared" si="59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7"/>
        <v>Boutique[...]</v>
      </c>
      <c r="B394" s="24" t="s">
        <v>183</v>
      </c>
      <c r="C394" s="267" t="s">
        <v>42</v>
      </c>
      <c r="D394" s="275"/>
      <c r="E394" s="276"/>
      <c r="F394" s="179">
        <f>+INDEX('Budget original'!$A$2:$AO$501,MATCH($A394,'Budget original'!$A$2:$A$501,0),MATCH(F$2,'Budget original'!$A$2:$AO$2,0))</f>
        <v>0</v>
      </c>
      <c r="G394" s="277"/>
      <c r="H394" s="276"/>
      <c r="I394" s="179"/>
      <c r="J394" s="278"/>
      <c r="K394" s="276"/>
      <c r="L394" s="180">
        <f>-SUMIFS(BV_Data_An_Cour!$O:$O,BV_Data_An_Cour!$U:$U,$B394,BV_Data_An_Cour!$V:$V,$C394,BV_Data_An_Cour!$W:$W,$L$2)</f>
        <v>0</v>
      </c>
      <c r="M394" s="278"/>
      <c r="N394" s="279"/>
      <c r="O394" s="278"/>
      <c r="P394" s="276"/>
      <c r="Q394" s="180">
        <f t="array" ref="Q394">+INDEX('Réel 2024'!$A$2:$AO$501,MATCH($A394,'Réel 2024'!$A$2:$A$501,0),MATCH(Q$2,'Réel 2024'!$A$2:$AO$2,0))</f>
        <v>0</v>
      </c>
      <c r="R394" s="278"/>
      <c r="S394" s="200">
        <f t="shared" si="59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-5387.7487285710959</v>
      </c>
      <c r="G401" s="25"/>
      <c r="H401" s="25"/>
      <c r="I401" s="25"/>
      <c r="J401" s="25"/>
      <c r="K401" s="25"/>
      <c r="L401" s="37">
        <f>L353+L289+L233</f>
        <v>8081.4499999999898</v>
      </c>
      <c r="M401" s="25"/>
      <c r="N401" s="25"/>
      <c r="O401" s="25"/>
      <c r="P401" s="25"/>
      <c r="Q401" s="25"/>
      <c r="R401" s="25"/>
      <c r="S401" s="25"/>
      <c r="T401" s="23"/>
      <c r="U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89" t="s">
        <v>186</v>
      </c>
      <c r="Y404" s="1286"/>
      <c r="Z404" s="1290"/>
      <c r="AA404" s="1285"/>
      <c r="AB404" s="1286"/>
      <c r="AC404" s="1290"/>
      <c r="AD404" s="1285" t="s">
        <v>78</v>
      </c>
      <c r="AE404" s="1286"/>
      <c r="AF404" s="1290"/>
      <c r="AG404" s="1285" t="s">
        <v>2442</v>
      </c>
      <c r="AH404" s="1286"/>
      <c r="AI404" s="1290"/>
      <c r="AJ404" s="1285" t="s">
        <v>2335</v>
      </c>
      <c r="AK404" s="1286"/>
      <c r="AL404" s="1286"/>
      <c r="AM404" s="1285" t="s">
        <v>187</v>
      </c>
      <c r="AN404" s="1286"/>
      <c r="AO404" s="1287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0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0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2885611.3479549596</v>
      </c>
      <c r="AA406" s="388"/>
      <c r="AB406" s="388"/>
      <c r="AC406" s="389"/>
      <c r="AD406" s="390"/>
      <c r="AE406" s="391"/>
      <c r="AF406" s="391">
        <f>L5+L93+K194+K250+J314+J362</f>
        <v>1969870.3300000003</v>
      </c>
      <c r="AG406" s="390"/>
      <c r="AH406" s="391"/>
      <c r="AI406" s="392"/>
      <c r="AJ406" s="390"/>
      <c r="AK406" s="391"/>
      <c r="AL406" s="391">
        <f>Q5+Q93+P194+P250+O314+O362</f>
        <v>4258557.1699999897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0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279752.58817337186</v>
      </c>
      <c r="AA407" s="81"/>
      <c r="AB407" s="81"/>
      <c r="AC407" s="82"/>
      <c r="AD407" s="83"/>
      <c r="AE407" s="84"/>
      <c r="AF407" s="84">
        <f>L27+L108+L194+L250+L314+L362</f>
        <v>205893.28000000006</v>
      </c>
      <c r="AG407" s="83"/>
      <c r="AH407" s="84">
        <f>AF407-Z407</f>
        <v>-73859.308173371799</v>
      </c>
      <c r="AI407" s="85">
        <f>AH407/Z407</f>
        <v>-0.26401653209227421</v>
      </c>
      <c r="AJ407" s="83">
        <f>+AL407/AL406</f>
        <v>8.9723668075119584E-2</v>
      </c>
      <c r="AK407" s="84"/>
      <c r="AL407" s="84">
        <f>Q27+Q108+Q194+Q250+Q314+Q362</f>
        <v>382093.3699999997</v>
      </c>
      <c r="AM407" s="86"/>
      <c r="AN407" s="84">
        <f>AF407-AL407</f>
        <v>-176200.08999999965</v>
      </c>
      <c r="AO407" s="396">
        <f>IF(AL407=0,0,AN407/AL407)</f>
        <v>-0.46114406538904296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0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0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61">Z409/(D$13+D$97)</f>
        <v>1013.5472542243153</v>
      </c>
      <c r="Z409" s="87">
        <f t="shared" ref="Z409:Z414" si="62">+SUMIF($C:$C,$V409,F:F)</f>
        <v>28379.32311828083</v>
      </c>
      <c r="AA409" s="398"/>
      <c r="AB409" s="404"/>
      <c r="AC409" s="87"/>
      <c r="AD409" s="405"/>
      <c r="AE409" s="404">
        <f t="shared" ref="AE409:AE414" si="63">IF(AF409=0,0,AF409/(J$13+J$97))</f>
        <v>1008.3376923076924</v>
      </c>
      <c r="AF409" s="87">
        <f t="shared" ref="AF409:AF415" si="64">+SUMIF($C:$C,$V409,L:L)</f>
        <v>13108.390000000001</v>
      </c>
      <c r="AG409" s="399">
        <f t="shared" ref="AG409:AG418" si="65">AE409-Y409</f>
        <v>-5.2095619166229881</v>
      </c>
      <c r="AH409" s="400">
        <f t="shared" ref="AH409:AH418" si="66">AF409-Z409</f>
        <v>-15270.933118280829</v>
      </c>
      <c r="AI409" s="401">
        <f t="shared" ref="AI409:AI418" si="67">IF(Z409=0,0,AH409/Z409)</f>
        <v>-0.53810068177573633</v>
      </c>
      <c r="AJ409" s="405"/>
      <c r="AK409" s="400">
        <f t="shared" ref="AK409:AK418" si="68">AL409/(O$13+O$97)</f>
        <v>1291.7477777777776</v>
      </c>
      <c r="AL409" s="87">
        <f t="shared" ref="AL409:AL414" si="69">+SUMIF($C:$C,$V409,Q:Q)</f>
        <v>46502.92</v>
      </c>
      <c r="AM409" s="402">
        <f t="shared" ref="AM409:AM414" si="70">AE409-Y409</f>
        <v>-5.2095619166229881</v>
      </c>
      <c r="AN409" s="400">
        <f t="shared" ref="AN409:AN414" si="71">AF409-AL409</f>
        <v>-33394.53</v>
      </c>
      <c r="AO409" s="212">
        <f t="shared" ref="AO409:AO431" si="72">IF(AL409=0,0,AN409/AL409)</f>
        <v>-0.71811684083494109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0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61"/>
        <v>463.47321428571428</v>
      </c>
      <c r="Z410" s="389">
        <f t="shared" si="62"/>
        <v>12977.25</v>
      </c>
      <c r="AA410" s="388"/>
      <c r="AB410" s="407"/>
      <c r="AC410" s="389"/>
      <c r="AD410" s="408"/>
      <c r="AE410" s="407">
        <f t="shared" si="63"/>
        <v>767.98384615384623</v>
      </c>
      <c r="AF410" s="389">
        <f t="shared" si="64"/>
        <v>9983.7900000000009</v>
      </c>
      <c r="AG410" s="390">
        <f t="shared" si="65"/>
        <v>304.51063186813195</v>
      </c>
      <c r="AH410" s="391">
        <f t="shared" si="66"/>
        <v>-2993.4599999999991</v>
      </c>
      <c r="AI410" s="409">
        <f t="shared" si="67"/>
        <v>-0.23066982604172681</v>
      </c>
      <c r="AJ410" s="408"/>
      <c r="AK410" s="391">
        <f t="shared" si="68"/>
        <v>509.90277777777777</v>
      </c>
      <c r="AL410" s="389">
        <f t="shared" si="69"/>
        <v>18356.5</v>
      </c>
      <c r="AM410" s="393">
        <f t="shared" si="70"/>
        <v>304.51063186813195</v>
      </c>
      <c r="AN410" s="391">
        <f t="shared" si="71"/>
        <v>-8372.7099999999991</v>
      </c>
      <c r="AO410" s="213">
        <f t="shared" si="72"/>
        <v>-0.45611690681774841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0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61"/>
        <v>122.14285714285714</v>
      </c>
      <c r="Z411" s="87">
        <f t="shared" si="62"/>
        <v>3420</v>
      </c>
      <c r="AA411" s="398"/>
      <c r="AB411" s="404"/>
      <c r="AC411" s="87"/>
      <c r="AD411" s="405"/>
      <c r="AE411" s="404">
        <f t="shared" si="63"/>
        <v>36.558461538461536</v>
      </c>
      <c r="AF411" s="87">
        <f t="shared" si="64"/>
        <v>475.26</v>
      </c>
      <c r="AG411" s="399">
        <f t="shared" si="65"/>
        <v>-85.58439560439561</v>
      </c>
      <c r="AH411" s="400">
        <f t="shared" si="66"/>
        <v>-2944.74</v>
      </c>
      <c r="AI411" s="401">
        <f t="shared" si="67"/>
        <v>-0.86103508771929815</v>
      </c>
      <c r="AJ411" s="405"/>
      <c r="AK411" s="400">
        <f t="shared" si="68"/>
        <v>88.079444444444434</v>
      </c>
      <c r="AL411" s="87">
        <f t="shared" si="69"/>
        <v>3170.8599999999997</v>
      </c>
      <c r="AM411" s="402">
        <f t="shared" si="70"/>
        <v>-85.58439560439561</v>
      </c>
      <c r="AN411" s="400">
        <f t="shared" si="71"/>
        <v>-2695.5999999999995</v>
      </c>
      <c r="AO411" s="212">
        <f t="shared" si="72"/>
        <v>-0.850116372214478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0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216</v>
      </c>
      <c r="X412" s="398"/>
      <c r="Y412" s="404">
        <f t="shared" si="61"/>
        <v>64.071428571428569</v>
      </c>
      <c r="Z412" s="87">
        <f t="shared" si="62"/>
        <v>1794</v>
      </c>
      <c r="AA412" s="398"/>
      <c r="AB412" s="404"/>
      <c r="AC412" s="87"/>
      <c r="AD412" s="405"/>
      <c r="AE412" s="404">
        <f t="shared" si="63"/>
        <v>14.76923076923077</v>
      </c>
      <c r="AF412" s="87">
        <f t="shared" si="64"/>
        <v>192</v>
      </c>
      <c r="AG412" s="399">
        <f t="shared" si="65"/>
        <v>-49.302197802197796</v>
      </c>
      <c r="AH412" s="400">
        <f t="shared" si="66"/>
        <v>-1602</v>
      </c>
      <c r="AI412" s="401">
        <f t="shared" si="67"/>
        <v>-0.8929765886287625</v>
      </c>
      <c r="AJ412" s="405"/>
      <c r="AK412" s="400">
        <f t="shared" si="68"/>
        <v>81.040555555555557</v>
      </c>
      <c r="AL412" s="87">
        <f t="shared" si="69"/>
        <v>2917.46</v>
      </c>
      <c r="AM412" s="402">
        <f t="shared" si="70"/>
        <v>-49.302197802197796</v>
      </c>
      <c r="AN412" s="400">
        <f t="shared" si="71"/>
        <v>-2725.46</v>
      </c>
      <c r="AO412" s="214">
        <f t="shared" si="72"/>
        <v>-0.93418932907392049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0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 t="s">
        <v>1963</v>
      </c>
      <c r="X413" s="388"/>
      <c r="Y413" s="407">
        <f t="shared" si="61"/>
        <v>105.71428571428571</v>
      </c>
      <c r="Z413" s="389">
        <f t="shared" si="62"/>
        <v>2960</v>
      </c>
      <c r="AA413" s="388"/>
      <c r="AB413" s="407"/>
      <c r="AC413" s="389"/>
      <c r="AD413" s="408"/>
      <c r="AE413" s="407">
        <f t="shared" si="63"/>
        <v>375.78384615384613</v>
      </c>
      <c r="AF413" s="389">
        <f t="shared" si="64"/>
        <v>4885.1899999999996</v>
      </c>
      <c r="AG413" s="390">
        <f t="shared" si="65"/>
        <v>270.06956043956041</v>
      </c>
      <c r="AH413" s="391">
        <f t="shared" si="66"/>
        <v>1925.1899999999996</v>
      </c>
      <c r="AI413" s="409">
        <f t="shared" si="67"/>
        <v>0.65040202702702687</v>
      </c>
      <c r="AJ413" s="408"/>
      <c r="AK413" s="391">
        <f t="shared" si="68"/>
        <v>105.80805555555555</v>
      </c>
      <c r="AL413" s="389">
        <f t="shared" si="69"/>
        <v>3809.09</v>
      </c>
      <c r="AM413" s="393">
        <f t="shared" si="70"/>
        <v>270.06956043956041</v>
      </c>
      <c r="AN413" s="391">
        <f t="shared" si="71"/>
        <v>1076.0999999999995</v>
      </c>
      <c r="AO413" s="213">
        <f t="shared" si="72"/>
        <v>0.28250842064640097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0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1964</v>
      </c>
      <c r="X414" s="401"/>
      <c r="Y414" s="404">
        <f t="shared" si="61"/>
        <v>595.58823529411768</v>
      </c>
      <c r="Z414" s="87">
        <f t="shared" si="62"/>
        <v>16676.470588235294</v>
      </c>
      <c r="AA414" s="401"/>
      <c r="AB414" s="404"/>
      <c r="AC414" s="87"/>
      <c r="AD414" s="405"/>
      <c r="AE414" s="404">
        <f t="shared" si="63"/>
        <v>803.926923076923</v>
      </c>
      <c r="AF414" s="87">
        <f t="shared" si="64"/>
        <v>10451.049999999999</v>
      </c>
      <c r="AG414" s="399">
        <f t="shared" si="65"/>
        <v>208.33868778280532</v>
      </c>
      <c r="AH414" s="400">
        <f t="shared" si="66"/>
        <v>-6225.4205882352944</v>
      </c>
      <c r="AI414" s="401">
        <f t="shared" si="67"/>
        <v>-0.37330564373897712</v>
      </c>
      <c r="AJ414" s="405"/>
      <c r="AK414" s="400">
        <f t="shared" si="68"/>
        <v>764.80194444444453</v>
      </c>
      <c r="AL414" s="87">
        <f t="shared" si="69"/>
        <v>27532.870000000003</v>
      </c>
      <c r="AM414" s="402">
        <f t="shared" si="70"/>
        <v>208.33868778280532</v>
      </c>
      <c r="AN414" s="400">
        <f t="shared" si="71"/>
        <v>-17081.820000000003</v>
      </c>
      <c r="AO414" s="212">
        <f t="shared" si="72"/>
        <v>-0.62041552515229981</v>
      </c>
      <c r="AP414" s="79"/>
      <c r="AQ414" s="79">
        <f>14847-4396</f>
        <v>10451</v>
      </c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0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1965</v>
      </c>
      <c r="X415" s="398"/>
      <c r="Y415" s="404">
        <f t="shared" si="61"/>
        <v>988.51142807255565</v>
      </c>
      <c r="Z415" s="87">
        <f>+SUMIF($C:$C,$V415,F:F)</f>
        <v>27678.319986031558</v>
      </c>
      <c r="AA415" s="398"/>
      <c r="AB415" s="404"/>
      <c r="AC415" s="87"/>
      <c r="AD415" s="405"/>
      <c r="AE415" s="404">
        <f>IF(AF415=0,0,AF415/(J$13+J$13))</f>
        <v>1534.3243749999999</v>
      </c>
      <c r="AF415" s="87">
        <f t="shared" si="64"/>
        <v>24549.19</v>
      </c>
      <c r="AG415" s="399">
        <f t="shared" si="65"/>
        <v>545.81294692744427</v>
      </c>
      <c r="AH415" s="400">
        <f t="shared" si="66"/>
        <v>-3129.1299860315594</v>
      </c>
      <c r="AI415" s="401">
        <f t="shared" si="67"/>
        <v>-0.11305346522515601</v>
      </c>
      <c r="AJ415" s="405"/>
      <c r="AK415" s="400">
        <f t="shared" si="68"/>
        <v>874.35083333333341</v>
      </c>
      <c r="AL415" s="87">
        <f>IFERROR(SUMIF($C:$C,$V415,Q:Q),0)</f>
        <v>31476.63</v>
      </c>
      <c r="AM415" s="402">
        <f>AE415-Y415</f>
        <v>545.81294692744427</v>
      </c>
      <c r="AN415" s="400">
        <f>AF415-AL415</f>
        <v>-6927.4400000000023</v>
      </c>
      <c r="AO415" s="212">
        <f t="shared" si="72"/>
        <v>-0.22008201004999589</v>
      </c>
      <c r="AP415" s="79"/>
      <c r="AQ415" s="712">
        <f>W37+W118</f>
        <v>24549.14</v>
      </c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60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61"/>
        <v>0</v>
      </c>
      <c r="Z416" s="87">
        <f>IFERROR(SUMIF($C:$C,$V416,F:F),0)</f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>IFERROR(SUMIF($C:$C,$V416,L:L),0)</f>
        <v>0</v>
      </c>
      <c r="AG416" s="399">
        <f t="shared" si="65"/>
        <v>0</v>
      </c>
      <c r="AH416" s="400">
        <f t="shared" si="66"/>
        <v>0</v>
      </c>
      <c r="AI416" s="401">
        <f t="shared" si="67"/>
        <v>0</v>
      </c>
      <c r="AJ416" s="405"/>
      <c r="AK416" s="400">
        <f t="shared" si="68"/>
        <v>0</v>
      </c>
      <c r="AL416" s="87">
        <f>IFERROR(SUMIF($C:$C,$V416,Q:Q),0)</f>
        <v>0</v>
      </c>
      <c r="AM416" s="402">
        <f>AE416-Y416</f>
        <v>0</v>
      </c>
      <c r="AN416" s="400">
        <f>AF416-AL416</f>
        <v>0</v>
      </c>
      <c r="AO416" s="212">
        <f t="shared" si="72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60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61"/>
        <v>0</v>
      </c>
      <c r="Z417" s="87">
        <f>IFERROR(SUMIF($C:$C,$V417,F:F),0)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IFERROR(SUMIF($C:$C,$V417,L:L),0)</f>
        <v>0</v>
      </c>
      <c r="AG417" s="399">
        <f t="shared" si="65"/>
        <v>0</v>
      </c>
      <c r="AH417" s="400">
        <f t="shared" si="66"/>
        <v>0</v>
      </c>
      <c r="AI417" s="401">
        <f t="shared" si="67"/>
        <v>0</v>
      </c>
      <c r="AJ417" s="405"/>
      <c r="AK417" s="400">
        <f t="shared" si="68"/>
        <v>0</v>
      </c>
      <c r="AL417" s="87">
        <f>IFERROR(SUMIF($C:$C,$V417,Q:Q),0)</f>
        <v>0</v>
      </c>
      <c r="AM417" s="402">
        <f>AE417-Y417</f>
        <v>0</v>
      </c>
      <c r="AN417" s="400">
        <f>AF417-AL417</f>
        <v>0</v>
      </c>
      <c r="AO417" s="212">
        <f t="shared" si="72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60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61"/>
        <v>0</v>
      </c>
      <c r="Z418" s="87">
        <f>IFERROR(SUMIF($C:$C,$V418,F:F),0)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IFERROR(SUMIF($C:$C,$V418,L:L),0)</f>
        <v>0</v>
      </c>
      <c r="AG418" s="399">
        <f t="shared" si="65"/>
        <v>0</v>
      </c>
      <c r="AH418" s="400">
        <f t="shared" si="66"/>
        <v>0</v>
      </c>
      <c r="AI418" s="401">
        <f t="shared" si="67"/>
        <v>0</v>
      </c>
      <c r="AJ418" s="405"/>
      <c r="AK418" s="400">
        <f t="shared" si="68"/>
        <v>0</v>
      </c>
      <c r="AL418" s="87">
        <f>IFERROR(SUMIF($C:$C,$V418,Q:Q),0)</f>
        <v>0</v>
      </c>
      <c r="AM418" s="402">
        <f>AE418-Y418</f>
        <v>0</v>
      </c>
      <c r="AN418" s="400">
        <f>AF418-AL418</f>
        <v>0</v>
      </c>
      <c r="AO418" s="212">
        <f t="shared" si="72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0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0.33560141232496427</v>
      </c>
      <c r="Y419" s="88"/>
      <c r="Z419" s="90">
        <f>SUM(Z409:Z418)</f>
        <v>93885.363692547689</v>
      </c>
      <c r="AA419" s="89"/>
      <c r="AB419" s="88"/>
      <c r="AC419" s="90"/>
      <c r="AD419" s="91">
        <f>AF419/AF407</f>
        <v>0.30911581961295664</v>
      </c>
      <c r="AE419" s="88"/>
      <c r="AF419" s="90">
        <f>SUM(AF409:AF418)</f>
        <v>63644.869999999995</v>
      </c>
      <c r="AG419" s="92"/>
      <c r="AH419" s="93">
        <f t="shared" ref="AH419:AH451" si="73">AF419-Z419</f>
        <v>-30240.493692547694</v>
      </c>
      <c r="AI419" s="89">
        <f>AH419/Z419</f>
        <v>-0.3221001922256822</v>
      </c>
      <c r="AJ419" s="91">
        <f>IF($AL$407=0,0,AL419/$AL$407)</f>
        <v>0.35008806878800364</v>
      </c>
      <c r="AK419" s="88"/>
      <c r="AL419" s="90">
        <f>SUM(AL409:AL418)</f>
        <v>133766.33000000002</v>
      </c>
      <c r="AM419" s="94"/>
      <c r="AN419" s="93">
        <f t="shared" ref="AN419:AN424" si="74">AF419-AL419</f>
        <v>-70121.460000000021</v>
      </c>
      <c r="AO419" s="396">
        <f t="shared" si="72"/>
        <v>-0.52420859569070943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0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205</v>
      </c>
      <c r="X420" s="398"/>
      <c r="Y420" s="398"/>
      <c r="Z420" s="87">
        <f>+INDEX('Budget original'!$A$2:$AO$501,MATCH($A420,'Budget original'!$A$2:$A$501,0),MATCH(F$2,'Budget original'!$A$2:$AO$2,0))</f>
        <v>14726.288712054229</v>
      </c>
      <c r="AA420" s="398"/>
      <c r="AB420" s="398"/>
      <c r="AC420" s="87"/>
      <c r="AD420" s="405"/>
      <c r="AE420" s="404"/>
      <c r="AF420" s="87">
        <f>SUMIFS(BV_Data_An_Cour!$O:$O,BV_Data_An_Cour!$V:$V,$V420)</f>
        <v>14479.21</v>
      </c>
      <c r="AG420" s="399"/>
      <c r="AH420" s="400">
        <f t="shared" si="73"/>
        <v>-247.07871205422998</v>
      </c>
      <c r="AI420" s="401">
        <f t="shared" ref="AI420:AI432" si="75">IF(Z420=0,0,AH420/Z420)</f>
        <v>-1.6778070624948651E-2</v>
      </c>
      <c r="AJ420" s="405"/>
      <c r="AK420" s="398"/>
      <c r="AL420" s="87">
        <f>+INDEX('Réel 2024'!$A$2:$AO$501,MATCH($A420,'Réel 2024'!$A$2:$A$501,0),MATCH(F$2,'Réel 2024'!$A$2:$AO$2,0))</f>
        <v>16114.43</v>
      </c>
      <c r="AM420" s="402"/>
      <c r="AN420" s="400">
        <f t="shared" si="74"/>
        <v>-1635.2200000000012</v>
      </c>
      <c r="AO420" s="212">
        <f t="shared" si="72"/>
        <v>-0.10147550983807688</v>
      </c>
      <c r="AP420" s="79"/>
      <c r="AQ420" s="79">
        <v>14811</v>
      </c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0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208</v>
      </c>
      <c r="X421" s="398"/>
      <c r="Y421" s="398"/>
      <c r="Z421" s="87">
        <f t="shared" ref="Z421:Z431" si="76">+SUMIF($C:$C,$V421,F:F)</f>
        <v>32839.42101385205</v>
      </c>
      <c r="AA421" s="398"/>
      <c r="AB421" s="398"/>
      <c r="AC421" s="87"/>
      <c r="AD421" s="405"/>
      <c r="AE421" s="404"/>
      <c r="AF421" s="87">
        <f t="shared" ref="AF421:AF432" si="77">+SUMIF($C:$C,$V421,L:L)</f>
        <v>30376.240000000002</v>
      </c>
      <c r="AG421" s="399"/>
      <c r="AH421" s="400">
        <f t="shared" si="73"/>
        <v>-2463.1810138520486</v>
      </c>
      <c r="AI421" s="401">
        <f t="shared" si="75"/>
        <v>-7.5006834402258499E-2</v>
      </c>
      <c r="AJ421" s="405"/>
      <c r="AK421" s="398"/>
      <c r="AL421" s="87">
        <f t="shared" ref="AL421:AL429" si="78">+SUMIF($C:$C,$V421,Q:Q)</f>
        <v>26033.780000000002</v>
      </c>
      <c r="AM421" s="402"/>
      <c r="AN421" s="400">
        <f t="shared" si="74"/>
        <v>4342.4599999999991</v>
      </c>
      <c r="AO421" s="212">
        <f t="shared" si="72"/>
        <v>0.16680097934299201</v>
      </c>
      <c r="AP421" s="79"/>
      <c r="AQ421" s="79"/>
      <c r="AR421" s="737" t="s">
        <v>3031</v>
      </c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0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76"/>
        <v>22464.420498084291</v>
      </c>
      <c r="AA422" s="388"/>
      <c r="AB422" s="388"/>
      <c r="AC422" s="389"/>
      <c r="AD422" s="408"/>
      <c r="AE422" s="407"/>
      <c r="AF422" s="389">
        <f t="shared" si="77"/>
        <v>14076.32</v>
      </c>
      <c r="AG422" s="390"/>
      <c r="AH422" s="391">
        <f t="shared" si="73"/>
        <v>-8388.1004980842918</v>
      </c>
      <c r="AI422" s="409">
        <f t="shared" si="75"/>
        <v>-0.37339492014938053</v>
      </c>
      <c r="AJ422" s="408"/>
      <c r="AK422" s="388"/>
      <c r="AL422" s="389">
        <f t="shared" si="78"/>
        <v>23662.68</v>
      </c>
      <c r="AM422" s="393"/>
      <c r="AN422" s="391">
        <f t="shared" si="74"/>
        <v>-9586.36</v>
      </c>
      <c r="AO422" s="394">
        <f t="shared" si="72"/>
        <v>-0.40512570849962898</v>
      </c>
      <c r="AP422" s="79"/>
      <c r="AQ422" s="79">
        <v>14076</v>
      </c>
      <c r="AR422" s="737" t="s">
        <v>3032</v>
      </c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0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76"/>
        <v>23383.321149425286</v>
      </c>
      <c r="AA423" s="398"/>
      <c r="AB423" s="398"/>
      <c r="AC423" s="87"/>
      <c r="AD423" s="405"/>
      <c r="AE423" s="404"/>
      <c r="AF423" s="87">
        <f t="shared" si="77"/>
        <v>19422.71</v>
      </c>
      <c r="AG423" s="399"/>
      <c r="AH423" s="400">
        <f t="shared" si="73"/>
        <v>-3960.6111494252873</v>
      </c>
      <c r="AI423" s="401">
        <f t="shared" si="75"/>
        <v>-0.16937761424546963</v>
      </c>
      <c r="AJ423" s="405"/>
      <c r="AK423" s="398"/>
      <c r="AL423" s="87">
        <f t="shared" si="78"/>
        <v>20726.59</v>
      </c>
      <c r="AM423" s="402"/>
      <c r="AN423" s="400">
        <f t="shared" si="74"/>
        <v>-1303.880000000001</v>
      </c>
      <c r="AO423" s="212">
        <f t="shared" si="72"/>
        <v>-6.2908563347854177E-2</v>
      </c>
      <c r="AP423" s="79"/>
      <c r="AQ423" s="79">
        <v>18070</v>
      </c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0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1966</v>
      </c>
      <c r="X424" s="398"/>
      <c r="Y424" s="398"/>
      <c r="Z424" s="87">
        <f t="shared" si="76"/>
        <v>14702.865444444444</v>
      </c>
      <c r="AA424" s="398"/>
      <c r="AB424" s="398"/>
      <c r="AC424" s="87"/>
      <c r="AD424" s="405"/>
      <c r="AE424" s="404"/>
      <c r="AF424" s="87">
        <f t="shared" si="77"/>
        <v>12308.67</v>
      </c>
      <c r="AG424" s="399"/>
      <c r="AH424" s="400">
        <f t="shared" si="73"/>
        <v>-2394.1954444444436</v>
      </c>
      <c r="AI424" s="401">
        <f t="shared" si="75"/>
        <v>-0.16283869654463193</v>
      </c>
      <c r="AJ424" s="405"/>
      <c r="AK424" s="398"/>
      <c r="AL424" s="87">
        <f t="shared" si="78"/>
        <v>16655.73</v>
      </c>
      <c r="AM424" s="402"/>
      <c r="AN424" s="400">
        <f t="shared" si="74"/>
        <v>-4347.0599999999995</v>
      </c>
      <c r="AO424" s="212">
        <f t="shared" si="72"/>
        <v>-0.2609948648303016</v>
      </c>
      <c r="AP424" s="79"/>
      <c r="AQ424" s="79">
        <v>12309</v>
      </c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60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76"/>
        <v>0</v>
      </c>
      <c r="AA425" s="398"/>
      <c r="AB425" s="398"/>
      <c r="AC425" s="400"/>
      <c r="AD425" s="405"/>
      <c r="AE425" s="404"/>
      <c r="AF425" s="87">
        <f t="shared" si="77"/>
        <v>0</v>
      </c>
      <c r="AG425" s="399"/>
      <c r="AH425" s="400">
        <f t="shared" si="73"/>
        <v>0</v>
      </c>
      <c r="AI425" s="401">
        <f t="shared" si="75"/>
        <v>0</v>
      </c>
      <c r="AJ425" s="405"/>
      <c r="AK425" s="398"/>
      <c r="AL425" s="87">
        <f t="shared" si="78"/>
        <v>0</v>
      </c>
      <c r="AM425" s="402"/>
      <c r="AN425" s="400">
        <f t="shared" ref="AN425:AN431" si="79">AF425-AL425</f>
        <v>0</v>
      </c>
      <c r="AO425" s="212">
        <f t="shared" si="72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60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76"/>
        <v>0</v>
      </c>
      <c r="AA426" s="398"/>
      <c r="AB426" s="398"/>
      <c r="AC426" s="400"/>
      <c r="AD426" s="405"/>
      <c r="AE426" s="404"/>
      <c r="AF426" s="87">
        <f t="shared" si="77"/>
        <v>0</v>
      </c>
      <c r="AG426" s="399"/>
      <c r="AH426" s="400">
        <f t="shared" si="73"/>
        <v>0</v>
      </c>
      <c r="AI426" s="401">
        <f t="shared" si="75"/>
        <v>0</v>
      </c>
      <c r="AJ426" s="405"/>
      <c r="AK426" s="398"/>
      <c r="AL426" s="87">
        <f t="shared" si="78"/>
        <v>0</v>
      </c>
      <c r="AM426" s="402"/>
      <c r="AN426" s="400">
        <f t="shared" si="79"/>
        <v>0</v>
      </c>
      <c r="AO426" s="212">
        <f t="shared" si="72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60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76"/>
        <v>0</v>
      </c>
      <c r="AA427" s="398"/>
      <c r="AB427" s="398"/>
      <c r="AC427" s="400"/>
      <c r="AD427" s="405"/>
      <c r="AE427" s="404"/>
      <c r="AF427" s="87">
        <f t="shared" si="77"/>
        <v>0</v>
      </c>
      <c r="AG427" s="399"/>
      <c r="AH427" s="400">
        <f t="shared" si="73"/>
        <v>0</v>
      </c>
      <c r="AI427" s="401">
        <f t="shared" si="75"/>
        <v>0</v>
      </c>
      <c r="AJ427" s="405"/>
      <c r="AK427" s="398"/>
      <c r="AL427" s="87">
        <f t="shared" si="78"/>
        <v>0</v>
      </c>
      <c r="AM427" s="402"/>
      <c r="AN427" s="400">
        <f t="shared" si="79"/>
        <v>0</v>
      </c>
      <c r="AO427" s="212">
        <f t="shared" si="72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0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76"/>
        <v>35036.273850804144</v>
      </c>
      <c r="AA428" s="388"/>
      <c r="AB428" s="388"/>
      <c r="AC428" s="389"/>
      <c r="AD428" s="408"/>
      <c r="AE428" s="407"/>
      <c r="AF428" s="389">
        <f t="shared" si="77"/>
        <v>13528.34</v>
      </c>
      <c r="AG428" s="390"/>
      <c r="AH428" s="391">
        <f t="shared" si="73"/>
        <v>-21507.933850804144</v>
      </c>
      <c r="AI428" s="409">
        <f t="shared" si="75"/>
        <v>-0.61387617708412501</v>
      </c>
      <c r="AJ428" s="408"/>
      <c r="AK428" s="388"/>
      <c r="AL428" s="389">
        <f t="shared" si="78"/>
        <v>40845.19</v>
      </c>
      <c r="AM428" s="393"/>
      <c r="AN428" s="391">
        <f t="shared" si="79"/>
        <v>-27316.850000000002</v>
      </c>
      <c r="AO428" s="213">
        <f t="shared" si="72"/>
        <v>-0.66878988688753804</v>
      </c>
      <c r="AP428" s="712"/>
      <c r="AQ428" s="1103"/>
      <c r="AR428" s="1273" t="s">
        <v>3021</v>
      </c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0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76"/>
        <v>21021.011041360092</v>
      </c>
      <c r="AA429" s="398"/>
      <c r="AB429" s="398"/>
      <c r="AC429" s="87"/>
      <c r="AD429" s="405"/>
      <c r="AE429" s="404"/>
      <c r="AF429" s="87">
        <f t="shared" si="77"/>
        <v>24123.63</v>
      </c>
      <c r="AG429" s="399"/>
      <c r="AH429" s="400">
        <f t="shared" si="73"/>
        <v>3102.6189586399087</v>
      </c>
      <c r="AI429" s="401">
        <f>IF(Z429=0,0,AH429/Z429)</f>
        <v>0.14759608624605738</v>
      </c>
      <c r="AJ429" s="405"/>
      <c r="AK429" s="398"/>
      <c r="AL429" s="87">
        <f t="shared" si="78"/>
        <v>25190.809999999998</v>
      </c>
      <c r="AM429" s="402"/>
      <c r="AN429" s="400">
        <f t="shared" si="79"/>
        <v>-1067.1799999999967</v>
      </c>
      <c r="AO429" s="212">
        <f t="shared" si="72"/>
        <v>-4.2363862059219083E-2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0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1995</v>
      </c>
      <c r="X430" s="398"/>
      <c r="Y430" s="398"/>
      <c r="Z430" s="87">
        <f t="shared" si="76"/>
        <v>12907.638358729881</v>
      </c>
      <c r="AA430" s="398"/>
      <c r="AB430" s="398"/>
      <c r="AC430" s="87"/>
      <c r="AD430" s="405"/>
      <c r="AE430" s="404"/>
      <c r="AF430" s="87">
        <f t="shared" si="77"/>
        <v>12446.010000000002</v>
      </c>
      <c r="AG430" s="399"/>
      <c r="AH430" s="400">
        <f t="shared" si="73"/>
        <v>-461.62835872987853</v>
      </c>
      <c r="AI430" s="401">
        <f t="shared" si="75"/>
        <v>-3.5763967497405395E-2</v>
      </c>
      <c r="AJ430" s="405"/>
      <c r="AK430" s="398"/>
      <c r="AL430" s="87">
        <f>IFERROR(SUMIF($C:$C,$V430,Q:Q),0)</f>
        <v>15188.6</v>
      </c>
      <c r="AM430" s="402"/>
      <c r="AN430" s="400">
        <f t="shared" si="79"/>
        <v>-2742.5899999999983</v>
      </c>
      <c r="AO430" s="212">
        <f t="shared" si="72"/>
        <v>-0.18056897936610342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0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 t="s">
        <v>1996</v>
      </c>
      <c r="X431" s="398"/>
      <c r="Y431" s="398"/>
      <c r="Z431" s="87">
        <f t="shared" si="76"/>
        <v>2765.9225054421172</v>
      </c>
      <c r="AA431" s="398"/>
      <c r="AB431" s="398"/>
      <c r="AC431" s="87"/>
      <c r="AD431" s="405"/>
      <c r="AE431" s="404"/>
      <c r="AF431" s="87">
        <f t="shared" si="77"/>
        <v>5350</v>
      </c>
      <c r="AG431" s="399"/>
      <c r="AH431" s="400">
        <f t="shared" si="73"/>
        <v>2584.0774945578828</v>
      </c>
      <c r="AI431" s="97">
        <f t="shared" si="75"/>
        <v>0.93425520399561324</v>
      </c>
      <c r="AJ431" s="405"/>
      <c r="AK431" s="398"/>
      <c r="AL431" s="87">
        <f>IFERROR(SUMIF($C:$C,$V431,Q:Q),0)</f>
        <v>1629.08</v>
      </c>
      <c r="AM431" s="402"/>
      <c r="AN431" s="400">
        <f t="shared" si="79"/>
        <v>3720.92</v>
      </c>
      <c r="AO431" s="213">
        <f t="shared" si="72"/>
        <v>2.2840621700591748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 hidden="1" customHeight="1">
      <c r="A432" t="str">
        <f t="shared" si="60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>IFERROR(SUMIF($C:$C,$V432,F:F),0)</f>
        <v>0</v>
      </c>
      <c r="AA432" s="398"/>
      <c r="AB432" s="398"/>
      <c r="AC432" s="400"/>
      <c r="AD432" s="405"/>
      <c r="AE432" s="404"/>
      <c r="AF432" s="87">
        <f t="shared" si="77"/>
        <v>0</v>
      </c>
      <c r="AG432" s="399"/>
      <c r="AH432" s="400">
        <f t="shared" si="73"/>
        <v>0</v>
      </c>
      <c r="AI432" s="401">
        <f t="shared" si="75"/>
        <v>0</v>
      </c>
      <c r="AJ432" s="405"/>
      <c r="AK432" s="398"/>
      <c r="AL432" s="87">
        <f>IFERROR(SUMIF($C:$C,$V432,Q:Q),0)</f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0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0.64287935188910328</v>
      </c>
      <c r="Y433" s="88"/>
      <c r="Z433" s="90">
        <f>SUM(Z420:Z432)</f>
        <v>179847.16257419653</v>
      </c>
      <c r="AA433" s="89"/>
      <c r="AB433" s="88"/>
      <c r="AC433" s="90"/>
      <c r="AD433" s="91">
        <f>AF433/AF407</f>
        <v>0.7096449675288089</v>
      </c>
      <c r="AE433" s="98"/>
      <c r="AF433" s="90">
        <f>SUM(AF420:AF432)</f>
        <v>146111.13</v>
      </c>
      <c r="AG433" s="99"/>
      <c r="AH433" s="93">
        <f t="shared" si="73"/>
        <v>-33736.032574196521</v>
      </c>
      <c r="AI433" s="89">
        <f>AH433/Z433</f>
        <v>-0.18758167819455374</v>
      </c>
      <c r="AJ433" s="91">
        <f>IF($AL$407=0,0,AL433/$AL$407)</f>
        <v>0.48691472976880013</v>
      </c>
      <c r="AK433" s="88"/>
      <c r="AL433" s="90">
        <f>SUM(AL420:AL432)</f>
        <v>186046.89</v>
      </c>
      <c r="AM433" s="100"/>
      <c r="AN433" s="93">
        <f t="shared" ref="AN433:AN447" si="80">AF433-AL433</f>
        <v>-39935.760000000009</v>
      </c>
      <c r="AO433" s="396">
        <f>IF(AL433=0,0,AN433/AL433)</f>
        <v>-0.21465427344687141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0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1967</v>
      </c>
      <c r="X434" s="412"/>
      <c r="Y434" s="412"/>
      <c r="Z434" s="238">
        <f t="shared" ref="Z434:Z448" si="81">+SUMIF($C:$C,$V434,F:F)</f>
        <v>10063.842584695667</v>
      </c>
      <c r="AA434" s="412"/>
      <c r="AB434" s="412"/>
      <c r="AC434" s="238"/>
      <c r="AD434" s="413"/>
      <c r="AE434" s="414"/>
      <c r="AF434" s="238">
        <f t="shared" ref="AF434:AF451" si="82">+SUMIF($C:$C,$V434,L:L)</f>
        <v>2195.19</v>
      </c>
      <c r="AG434" s="413"/>
      <c r="AH434" s="415">
        <f t="shared" si="73"/>
        <v>-7868.6525846956665</v>
      </c>
      <c r="AI434" s="416">
        <f t="shared" ref="AI434:AI451" si="83">IF(Z434=0,0,AH434/Z434)</f>
        <v>-0.78187357547322134</v>
      </c>
      <c r="AJ434" s="413"/>
      <c r="AK434" s="412"/>
      <c r="AL434" s="238">
        <f t="shared" ref="AL434:AL448" si="84">+SUMIF($C:$C,$V434,Q:Q)</f>
        <v>10143.799999999999</v>
      </c>
      <c r="AM434" s="417"/>
      <c r="AN434" s="415">
        <f t="shared" si="80"/>
        <v>-7948.6099999999988</v>
      </c>
      <c r="AO434" s="211">
        <f t="shared" ref="AO434:AO447" si="85">IF(AL434=0,0,AN434/AL434)</f>
        <v>-0.78359293361462168</v>
      </c>
      <c r="AP434" s="79"/>
      <c r="AQ434" s="79">
        <f>2395-200</f>
        <v>2195</v>
      </c>
      <c r="AR434" s="79" t="s">
        <v>3042</v>
      </c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0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216</v>
      </c>
      <c r="X435" s="398"/>
      <c r="Y435" s="398"/>
      <c r="Z435" s="87">
        <f t="shared" si="81"/>
        <v>3333.3333333333335</v>
      </c>
      <c r="AA435" s="398"/>
      <c r="AB435" s="398"/>
      <c r="AC435" s="87"/>
      <c r="AD435" s="405"/>
      <c r="AE435" s="404"/>
      <c r="AF435" s="87">
        <f t="shared" si="82"/>
        <v>1075.23</v>
      </c>
      <c r="AG435" s="399"/>
      <c r="AH435" s="400">
        <f t="shared" si="73"/>
        <v>-2258.1033333333335</v>
      </c>
      <c r="AI435" s="401">
        <f t="shared" si="83"/>
        <v>-0.67743100000000001</v>
      </c>
      <c r="AJ435" s="405"/>
      <c r="AK435" s="398"/>
      <c r="AL435" s="87">
        <f t="shared" si="84"/>
        <v>5565.61</v>
      </c>
      <c r="AM435" s="402"/>
      <c r="AN435" s="400">
        <f t="shared" si="80"/>
        <v>-4490.3799999999992</v>
      </c>
      <c r="AO435" s="212">
        <f t="shared" si="85"/>
        <v>-0.80680823845005301</v>
      </c>
      <c r="AP435" s="79"/>
      <c r="AQ435" s="79">
        <v>1075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0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1968</v>
      </c>
      <c r="X436" s="388"/>
      <c r="Y436" s="388"/>
      <c r="Z436" s="389">
        <f t="shared" si="81"/>
        <v>15011.333333333332</v>
      </c>
      <c r="AA436" s="388"/>
      <c r="AB436" s="388"/>
      <c r="AC436" s="389"/>
      <c r="AD436" s="408"/>
      <c r="AE436" s="407"/>
      <c r="AF436" s="389">
        <f t="shared" si="82"/>
        <v>7275.83</v>
      </c>
      <c r="AG436" s="390"/>
      <c r="AH436" s="391">
        <f t="shared" si="73"/>
        <v>-7735.5033333333322</v>
      </c>
      <c r="AI436" s="409">
        <f t="shared" si="83"/>
        <v>-0.51531087622685079</v>
      </c>
      <c r="AJ436" s="408"/>
      <c r="AK436" s="388"/>
      <c r="AL436" s="389">
        <f t="shared" si="84"/>
        <v>25269.279999999999</v>
      </c>
      <c r="AM436" s="393"/>
      <c r="AN436" s="391">
        <f t="shared" si="80"/>
        <v>-17993.449999999997</v>
      </c>
      <c r="AO436" s="394">
        <f t="shared" si="85"/>
        <v>-0.7120681713131517</v>
      </c>
      <c r="AP436" s="79"/>
      <c r="AQ436" s="1017">
        <v>7276</v>
      </c>
      <c r="AR436" s="1017" t="s">
        <v>3043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0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1977</v>
      </c>
      <c r="X437" s="398"/>
      <c r="Y437" s="398"/>
      <c r="Z437" s="87">
        <f t="shared" si="81"/>
        <v>14164</v>
      </c>
      <c r="AA437" s="398"/>
      <c r="AB437" s="398"/>
      <c r="AC437" s="87"/>
      <c r="AD437" s="405"/>
      <c r="AE437" s="404"/>
      <c r="AF437" s="87">
        <f t="shared" si="82"/>
        <v>15247.590000000002</v>
      </c>
      <c r="AG437" s="399"/>
      <c r="AH437" s="400">
        <f>AF437-Z437</f>
        <v>1083.590000000002</v>
      </c>
      <c r="AI437" s="401">
        <f t="shared" si="83"/>
        <v>7.6503106467099832E-2</v>
      </c>
      <c r="AJ437" s="405"/>
      <c r="AK437" s="398"/>
      <c r="AL437" s="87">
        <f t="shared" si="84"/>
        <v>14541.2</v>
      </c>
      <c r="AM437" s="402"/>
      <c r="AN437" s="400">
        <f t="shared" si="80"/>
        <v>706.39000000000124</v>
      </c>
      <c r="AO437" s="212">
        <f t="shared" si="85"/>
        <v>4.8578521717602484E-2</v>
      </c>
      <c r="AP437" s="1017"/>
      <c r="AQ437" s="1170">
        <f>18229-2981</f>
        <v>15248</v>
      </c>
      <c r="AR437" s="1017" t="s">
        <v>3044</v>
      </c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0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1969</v>
      </c>
      <c r="X438" s="398"/>
      <c r="Y438" s="398"/>
      <c r="Z438" s="87">
        <f t="shared" si="81"/>
        <v>1833.3333333333335</v>
      </c>
      <c r="AA438" s="398"/>
      <c r="AB438" s="398"/>
      <c r="AC438" s="87"/>
      <c r="AD438" s="405"/>
      <c r="AE438" s="404"/>
      <c r="AF438" s="87">
        <f t="shared" si="82"/>
        <v>631.79</v>
      </c>
      <c r="AG438" s="399"/>
      <c r="AH438" s="400">
        <f t="shared" si="73"/>
        <v>-1201.5433333333335</v>
      </c>
      <c r="AI438" s="401">
        <f t="shared" si="83"/>
        <v>-0.65538727272727282</v>
      </c>
      <c r="AJ438" s="405"/>
      <c r="AK438" s="398"/>
      <c r="AL438" s="87">
        <f t="shared" si="84"/>
        <v>1906.5700000000002</v>
      </c>
      <c r="AM438" s="402"/>
      <c r="AN438" s="400">
        <f t="shared" si="80"/>
        <v>-1274.7800000000002</v>
      </c>
      <c r="AO438" s="212">
        <f t="shared" si="85"/>
        <v>-0.6686248079010999</v>
      </c>
      <c r="AP438" s="1017"/>
      <c r="AQ438" s="79">
        <v>632</v>
      </c>
      <c r="AR438" s="1170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0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1970</v>
      </c>
      <c r="X439" s="398"/>
      <c r="Y439" s="398"/>
      <c r="Z439" s="87">
        <f t="shared" si="81"/>
        <v>11716</v>
      </c>
      <c r="AA439" s="398"/>
      <c r="AB439" s="398"/>
      <c r="AC439" s="87"/>
      <c r="AD439" s="405"/>
      <c r="AE439" s="404"/>
      <c r="AF439" s="87">
        <f t="shared" si="82"/>
        <v>14442.800000000001</v>
      </c>
      <c r="AG439" s="399"/>
      <c r="AH439" s="400">
        <f t="shared" si="73"/>
        <v>2726.8000000000011</v>
      </c>
      <c r="AI439" s="401">
        <f t="shared" si="83"/>
        <v>0.23274155001707075</v>
      </c>
      <c r="AJ439" s="405"/>
      <c r="AK439" s="398"/>
      <c r="AL439" s="87">
        <f t="shared" si="84"/>
        <v>12577.59</v>
      </c>
      <c r="AM439" s="402"/>
      <c r="AN439" s="400">
        <f t="shared" si="80"/>
        <v>1865.2100000000009</v>
      </c>
      <c r="AO439" s="212">
        <f t="shared" si="85"/>
        <v>0.14829629523620988</v>
      </c>
      <c r="AP439" s="79"/>
      <c r="AQ439" s="1017">
        <v>14443</v>
      </c>
      <c r="AR439" s="1017" t="s">
        <v>3045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 customHeight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81"/>
        <v>0</v>
      </c>
      <c r="AA440" s="590"/>
      <c r="AB440" s="590"/>
      <c r="AC440" s="591"/>
      <c r="AD440" s="592"/>
      <c r="AE440" s="593"/>
      <c r="AF440" s="591">
        <f t="shared" si="82"/>
        <v>0</v>
      </c>
      <c r="AG440" s="594"/>
      <c r="AH440" s="595">
        <f t="shared" si="73"/>
        <v>0</v>
      </c>
      <c r="AI440" s="596">
        <f t="shared" si="83"/>
        <v>0</v>
      </c>
      <c r="AJ440" s="592"/>
      <c r="AK440" s="590"/>
      <c r="AL440" s="591">
        <f t="shared" si="84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0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81"/>
        <v>1167.5</v>
      </c>
      <c r="AA441" s="398"/>
      <c r="AB441" s="404"/>
      <c r="AC441" s="87"/>
      <c r="AD441" s="405"/>
      <c r="AE441" s="404"/>
      <c r="AF441" s="87">
        <f t="shared" si="82"/>
        <v>1758.85</v>
      </c>
      <c r="AG441" s="399"/>
      <c r="AH441" s="400">
        <f t="shared" si="73"/>
        <v>591.34999999999991</v>
      </c>
      <c r="AI441" s="401">
        <f t="shared" si="83"/>
        <v>0.50650963597430398</v>
      </c>
      <c r="AJ441" s="405"/>
      <c r="AK441" s="398"/>
      <c r="AL441" s="87">
        <f t="shared" si="84"/>
        <v>3893.39</v>
      </c>
      <c r="AM441" s="402"/>
      <c r="AN441" s="400">
        <f t="shared" si="80"/>
        <v>-2134.54</v>
      </c>
      <c r="AO441" s="212">
        <f t="shared" si="85"/>
        <v>-0.54824715736157947</v>
      </c>
      <c r="AP441" s="79"/>
      <c r="AQ441" s="79">
        <v>1759</v>
      </c>
      <c r="AR441" s="1017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0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81"/>
        <v>1060</v>
      </c>
      <c r="AA442" s="398"/>
      <c r="AB442" s="398"/>
      <c r="AC442" s="87"/>
      <c r="AD442" s="405"/>
      <c r="AE442" s="404"/>
      <c r="AF442" s="87">
        <f t="shared" si="82"/>
        <v>684.54</v>
      </c>
      <c r="AG442" s="399"/>
      <c r="AH442" s="400">
        <f t="shared" si="73"/>
        <v>-375.46000000000004</v>
      </c>
      <c r="AI442" s="97">
        <f t="shared" si="83"/>
        <v>-0.35420754716981134</v>
      </c>
      <c r="AJ442" s="405"/>
      <c r="AK442" s="398"/>
      <c r="AL442" s="87">
        <f t="shared" si="84"/>
        <v>1242.2</v>
      </c>
      <c r="AM442" s="402"/>
      <c r="AN442" s="400">
        <f t="shared" si="80"/>
        <v>-557.66000000000008</v>
      </c>
      <c r="AO442" s="212">
        <f t="shared" si="85"/>
        <v>-0.44892931895024962</v>
      </c>
      <c r="AP442" s="79"/>
      <c r="AQ442" s="79">
        <v>685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81"/>
        <v>1575</v>
      </c>
      <c r="AA443" s="398"/>
      <c r="AB443" s="398"/>
      <c r="AC443" s="87"/>
      <c r="AD443" s="405"/>
      <c r="AE443" s="404"/>
      <c r="AF443" s="87">
        <f t="shared" si="82"/>
        <v>482.67</v>
      </c>
      <c r="AG443" s="399"/>
      <c r="AH443" s="400">
        <f t="shared" si="73"/>
        <v>-1092.33</v>
      </c>
      <c r="AI443" s="401">
        <f t="shared" si="83"/>
        <v>-0.69354285714285713</v>
      </c>
      <c r="AJ443" s="405"/>
      <c r="AK443" s="398"/>
      <c r="AL443" s="87">
        <f t="shared" si="84"/>
        <v>1074.0999999999999</v>
      </c>
      <c r="AM443" s="402"/>
      <c r="AN443" s="400">
        <f t="shared" si="80"/>
        <v>-591.42999999999984</v>
      </c>
      <c r="AO443" s="212">
        <f t="shared" si="85"/>
        <v>-0.550628433106787</v>
      </c>
      <c r="AP443" s="79"/>
      <c r="AQ443" s="79">
        <v>483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0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1971</v>
      </c>
      <c r="X444" s="398"/>
      <c r="Y444" s="398"/>
      <c r="Z444" s="87">
        <f t="shared" si="81"/>
        <v>512</v>
      </c>
      <c r="AA444" s="398"/>
      <c r="AB444" s="398"/>
      <c r="AC444" s="87"/>
      <c r="AD444" s="405"/>
      <c r="AE444" s="404"/>
      <c r="AF444" s="87">
        <f t="shared" si="82"/>
        <v>828.16000000000008</v>
      </c>
      <c r="AG444" s="399"/>
      <c r="AH444" s="400">
        <f t="shared" si="73"/>
        <v>316.16000000000008</v>
      </c>
      <c r="AI444" s="97">
        <f t="shared" si="83"/>
        <v>0.61750000000000016</v>
      </c>
      <c r="AJ444" s="405"/>
      <c r="AK444" s="398"/>
      <c r="AL444" s="87">
        <f t="shared" si="84"/>
        <v>473.31</v>
      </c>
      <c r="AM444" s="402"/>
      <c r="AN444" s="400">
        <f t="shared" si="80"/>
        <v>354.85000000000008</v>
      </c>
      <c r="AO444" s="212">
        <f t="shared" si="85"/>
        <v>0.74972005662250973</v>
      </c>
      <c r="AP444" s="79"/>
      <c r="AQ444" s="79">
        <v>828</v>
      </c>
      <c r="AR444" s="1017" t="s">
        <v>3046</v>
      </c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0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1972</v>
      </c>
      <c r="X445" s="398"/>
      <c r="Y445" s="398"/>
      <c r="Z445" s="87">
        <f t="shared" si="81"/>
        <v>950</v>
      </c>
      <c r="AA445" s="398"/>
      <c r="AB445" s="398"/>
      <c r="AC445" s="87"/>
      <c r="AD445" s="405"/>
      <c r="AE445" s="404"/>
      <c r="AF445" s="87">
        <f t="shared" si="82"/>
        <v>696.15</v>
      </c>
      <c r="AG445" s="399"/>
      <c r="AH445" s="400">
        <f t="shared" si="73"/>
        <v>-253.85000000000002</v>
      </c>
      <c r="AI445" s="401">
        <f t="shared" si="83"/>
        <v>-0.26721052631578951</v>
      </c>
      <c r="AJ445" s="405"/>
      <c r="AK445" s="398"/>
      <c r="AL445" s="87">
        <f t="shared" si="84"/>
        <v>944.23</v>
      </c>
      <c r="AM445" s="402"/>
      <c r="AN445" s="400">
        <f t="shared" si="80"/>
        <v>-248.08000000000004</v>
      </c>
      <c r="AO445" s="212">
        <f t="shared" si="85"/>
        <v>-0.26273259693083256</v>
      </c>
      <c r="AP445" s="79"/>
      <c r="AQ445" s="79">
        <v>696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0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1973</v>
      </c>
      <c r="X446" s="398"/>
      <c r="Y446" s="404"/>
      <c r="Z446" s="87">
        <f t="shared" si="81"/>
        <v>1741.0000000000002</v>
      </c>
      <c r="AA446" s="398"/>
      <c r="AB446" s="404"/>
      <c r="AC446" s="87"/>
      <c r="AD446" s="405"/>
      <c r="AE446" s="404"/>
      <c r="AF446" s="87">
        <f t="shared" si="82"/>
        <v>339.99</v>
      </c>
      <c r="AG446" s="399"/>
      <c r="AH446" s="400">
        <f t="shared" si="73"/>
        <v>-1401.0100000000002</v>
      </c>
      <c r="AI446" s="97">
        <f t="shared" si="83"/>
        <v>-0.80471568064330845</v>
      </c>
      <c r="AJ446" s="405"/>
      <c r="AK446" s="398"/>
      <c r="AL446" s="87">
        <f t="shared" si="84"/>
        <v>2389.7799999999902</v>
      </c>
      <c r="AM446" s="402"/>
      <c r="AN446" s="400">
        <f t="shared" si="80"/>
        <v>-2049.78999999999</v>
      </c>
      <c r="AO446" s="212">
        <f t="shared" si="85"/>
        <v>-0.85773167404530892</v>
      </c>
      <c r="AP446" s="79"/>
      <c r="AQ446" s="79">
        <v>340</v>
      </c>
      <c r="AR446" s="1017" t="s">
        <v>3047</v>
      </c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0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1974</v>
      </c>
      <c r="X447" s="398"/>
      <c r="Y447" s="404"/>
      <c r="Z447" s="87">
        <f t="shared" si="81"/>
        <v>2582.3544666666662</v>
      </c>
      <c r="AA447" s="398"/>
      <c r="AB447" s="404"/>
      <c r="AC447" s="87"/>
      <c r="AD447" s="405"/>
      <c r="AE447" s="404"/>
      <c r="AF447" s="87">
        <f t="shared" si="82"/>
        <v>2416.73</v>
      </c>
      <c r="AG447" s="399"/>
      <c r="AH447" s="400">
        <f t="shared" si="73"/>
        <v>-165.62446666666619</v>
      </c>
      <c r="AI447" s="401">
        <f t="shared" si="83"/>
        <v>-6.4136999317702587E-2</v>
      </c>
      <c r="AJ447" s="405"/>
      <c r="AK447" s="398"/>
      <c r="AL447" s="87">
        <f t="shared" si="84"/>
        <v>341.25</v>
      </c>
      <c r="AM447" s="402"/>
      <c r="AN447" s="400">
        <f t="shared" si="80"/>
        <v>2075.48</v>
      </c>
      <c r="AO447" s="212">
        <f t="shared" si="85"/>
        <v>6.0819926739926737</v>
      </c>
      <c r="AP447" s="79"/>
      <c r="AQ447" s="79">
        <v>2417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0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1975</v>
      </c>
      <c r="X448" s="398"/>
      <c r="Y448" s="404">
        <f>Z448/Z406</f>
        <v>1.65E-3</v>
      </c>
      <c r="Z448" s="87">
        <f t="shared" si="81"/>
        <v>4761.2587241256833</v>
      </c>
      <c r="AA448" s="398"/>
      <c r="AB448" s="404"/>
      <c r="AC448" s="87"/>
      <c r="AD448" s="405"/>
      <c r="AE448" s="404"/>
      <c r="AF448" s="87">
        <f t="shared" si="82"/>
        <v>5115.18</v>
      </c>
      <c r="AG448" s="399"/>
      <c r="AH448" s="400">
        <f t="shared" si="73"/>
        <v>353.92127587431696</v>
      </c>
      <c r="AI448" s="401">
        <f t="shared" si="83"/>
        <v>7.4333552613087203E-2</v>
      </c>
      <c r="AJ448" s="405"/>
      <c r="AK448" s="398"/>
      <c r="AL448" s="87">
        <f t="shared" si="84"/>
        <v>5681.3600000000006</v>
      </c>
      <c r="AM448" s="402"/>
      <c r="AN448" s="400">
        <f>AF448-AL448</f>
        <v>-566.18000000000029</v>
      </c>
      <c r="AO448" s="212">
        <f>IF(AL448=0,0,AN448/AL448)</f>
        <v>-9.965571623695739E-2</v>
      </c>
      <c r="AP448" s="79"/>
      <c r="AQ448" s="79">
        <f>12057-7000+58</f>
        <v>5115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60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>IFERROR(SUMIF($C:$C,$V449,F:F),0)</f>
        <v>0</v>
      </c>
      <c r="AA449" s="398"/>
      <c r="AB449" s="398"/>
      <c r="AC449" s="400"/>
      <c r="AD449" s="405"/>
      <c r="AE449" s="404"/>
      <c r="AF449" s="87">
        <f t="shared" si="82"/>
        <v>0</v>
      </c>
      <c r="AG449" s="399"/>
      <c r="AH449" s="400">
        <f t="shared" si="73"/>
        <v>0</v>
      </c>
      <c r="AI449" s="401">
        <f t="shared" si="83"/>
        <v>0</v>
      </c>
      <c r="AJ449" s="405"/>
      <c r="AK449" s="398"/>
      <c r="AL449" s="87">
        <f>IFERROR(SUMIF($C:$C,$V449,Q:Q),0)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60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IFERROR(SUMIF($C:$C,$V450,F:F),0)</f>
        <v>0</v>
      </c>
      <c r="AA450" s="398"/>
      <c r="AB450" s="398"/>
      <c r="AC450" s="400"/>
      <c r="AD450" s="405"/>
      <c r="AE450" s="404"/>
      <c r="AF450" s="87">
        <f t="shared" si="82"/>
        <v>0</v>
      </c>
      <c r="AG450" s="399"/>
      <c r="AH450" s="400">
        <f t="shared" si="73"/>
        <v>0</v>
      </c>
      <c r="AI450" s="401">
        <f t="shared" si="83"/>
        <v>0</v>
      </c>
      <c r="AJ450" s="405"/>
      <c r="AK450" s="398"/>
      <c r="AL450" s="87">
        <f>IFERROR(SUMIF($C:$C,$V450,Q:Q),0)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60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IFERROR(SUMIF($C:$C,$V451,F:F),0)</f>
        <v>0</v>
      </c>
      <c r="AA451" s="398"/>
      <c r="AB451" s="398"/>
      <c r="AC451" s="400"/>
      <c r="AD451" s="405"/>
      <c r="AE451" s="404"/>
      <c r="AF451" s="87">
        <f t="shared" si="82"/>
        <v>0</v>
      </c>
      <c r="AG451" s="399"/>
      <c r="AH451" s="400">
        <f t="shared" si="73"/>
        <v>0</v>
      </c>
      <c r="AI451" s="401">
        <f t="shared" si="83"/>
        <v>0</v>
      </c>
      <c r="AJ451" s="405"/>
      <c r="AK451" s="398"/>
      <c r="AL451" s="87">
        <f>IFERROR(SUMIF($C:$C,$V451,Q:Q),0)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0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0.25190457123426097</v>
      </c>
      <c r="Y452" s="88"/>
      <c r="Z452" s="90">
        <f>+SUM(Z434:Z451)</f>
        <v>70470.955775488022</v>
      </c>
      <c r="AA452" s="89"/>
      <c r="AB452" s="88"/>
      <c r="AC452" s="90"/>
      <c r="AD452" s="91">
        <f>AF452/AF407</f>
        <v>0.25834111730115716</v>
      </c>
      <c r="AE452" s="88"/>
      <c r="AF452" s="90">
        <f>+SUM(AF434:AF451)</f>
        <v>53190.700000000012</v>
      </c>
      <c r="AG452" s="99"/>
      <c r="AH452" s="93">
        <f>+SUM(AH434:AH451)</f>
        <v>-17280.255775488011</v>
      </c>
      <c r="AI452" s="89">
        <f>AH452/Z452</f>
        <v>-0.2452110317694686</v>
      </c>
      <c r="AJ452" s="91">
        <f>IF($AL$407=0,0,AL452/$AL$407)</f>
        <v>0.22519016752371299</v>
      </c>
      <c r="AK452" s="89"/>
      <c r="AL452" s="90">
        <f>+SUM(AL434:AL451)</f>
        <v>86043.669999999984</v>
      </c>
      <c r="AM452" s="100"/>
      <c r="AN452" s="93">
        <f>+SUM(AN434:AN451)</f>
        <v>-32852.969999999987</v>
      </c>
      <c r="AO452" s="551">
        <f>IF(AL452=0,0,AN452/AL452)</f>
        <v>-0.38181739574799628</v>
      </c>
      <c r="AP452" s="79"/>
      <c r="AQ452" s="79"/>
      <c r="AR452" s="101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0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>
        <f>+INDEX('Budget original'!$A$2:$AO$501,MATCH($A453,'Budget original'!$A$2:$A$501,0),MATCH(F$2,'Budget original'!$A$2:$AO$2,0))</f>
        <v>50000</v>
      </c>
      <c r="AA453" s="398"/>
      <c r="AB453" s="404"/>
      <c r="AC453" s="87"/>
      <c r="AD453" s="405"/>
      <c r="AE453" s="404"/>
      <c r="AF453" s="87">
        <f>SUMIFS(BV_Data_An_Cour!$O:$O,BV_Data_An_Cour!$V:$V,$V453)</f>
        <v>40000</v>
      </c>
      <c r="AG453" s="399"/>
      <c r="AH453" s="400">
        <f t="shared" ref="AH453:AH461" si="86">AF453-Z453</f>
        <v>-10000</v>
      </c>
      <c r="AI453" s="401">
        <f t="shared" ref="AI453:AI461" si="87">IF(Z453=0,0,AH453/Z453)</f>
        <v>-0.2</v>
      </c>
      <c r="AJ453" s="405"/>
      <c r="AK453" s="398"/>
      <c r="AL453" s="87">
        <f>+INDEX('Réel 2024'!$A$2:$AO$501,MATCH($A453,'Réel 2024'!$A$2:$A$501,0),MATCH(F$2,'Réel 2024'!$A$2:$AO$2,0))</f>
        <v>50000</v>
      </c>
      <c r="AM453" s="402"/>
      <c r="AN453" s="400">
        <f>AF453-AL453</f>
        <v>-10000</v>
      </c>
      <c r="AO453" s="212">
        <f t="shared" ref="AO453:AO461" si="88">IF(AL453=0,0,AN453/AL453)</f>
        <v>-0.2</v>
      </c>
      <c r="AP453" s="79"/>
      <c r="AQ453" s="79">
        <v>40000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0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>
        <f>+INDEX('Budget original'!$A$2:$AO$501,MATCH($A454,'Budget original'!$A$2:$A$501,0),MATCH(F$2,'Budget original'!$A$2:$AO$2,0))</f>
        <v>5933.07</v>
      </c>
      <c r="AA454" s="398"/>
      <c r="AB454" s="404"/>
      <c r="AC454" s="87"/>
      <c r="AD454" s="405"/>
      <c r="AE454" s="404"/>
      <c r="AF454" s="87">
        <f>SUMIFS(BV_Data_An_Cour!$O:$O,BV_Data_An_Cour!$V:$V,$V454)</f>
        <v>0</v>
      </c>
      <c r="AG454" s="399"/>
      <c r="AH454" s="400">
        <f t="shared" si="86"/>
        <v>-5933.07</v>
      </c>
      <c r="AI454" s="401">
        <f t="shared" si="87"/>
        <v>-1</v>
      </c>
      <c r="AJ454" s="405"/>
      <c r="AK454" s="398"/>
      <c r="AL454" s="87">
        <f>+INDEX('Réel 2024'!$A$2:$AO$501,MATCH($A454,'Réel 2024'!$A$2:$A$501,0),MATCH(F$2,'Réel 2024'!$A$2:$AO$2,0))</f>
        <v>5535.51</v>
      </c>
      <c r="AM454" s="402"/>
      <c r="AN454" s="400">
        <f t="shared" ref="AN454:AN461" si="89">AF454-AL454</f>
        <v>-5535.51</v>
      </c>
      <c r="AO454" s="212">
        <f t="shared" si="88"/>
        <v>-1</v>
      </c>
      <c r="AP454" s="79"/>
      <c r="AQ454" s="79">
        <v>0</v>
      </c>
      <c r="AR454" s="101" t="s">
        <v>3040</v>
      </c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0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f>+INDEX('Budget original'!$A$2:$AO$501,MATCH($A455,'Budget original'!$A$2:$A$501,0),MATCH(F$2,'Budget original'!$A$2:$AO$2,0))</f>
        <v>2542.75</v>
      </c>
      <c r="AA455" s="388"/>
      <c r="AB455" s="407"/>
      <c r="AC455" s="389"/>
      <c r="AD455" s="408"/>
      <c r="AE455" s="407"/>
      <c r="AF455" s="389">
        <f>SUMIFS(BV_Data_An_Cour!$O:$O,BV_Data_An_Cour!$V:$V,$V455)</f>
        <v>150</v>
      </c>
      <c r="AG455" s="390"/>
      <c r="AH455" s="391">
        <f t="shared" si="86"/>
        <v>-2392.75</v>
      </c>
      <c r="AI455" s="409">
        <f t="shared" si="87"/>
        <v>-0.94100875036869536</v>
      </c>
      <c r="AJ455" s="408"/>
      <c r="AK455" s="388"/>
      <c r="AL455" s="389">
        <f>+INDEX('Réel 2024'!$A$2:$AO$501,MATCH($A455,'Réel 2024'!$A$2:$A$501,0),MATCH(F$2,'Réel 2024'!$A$2:$AO$2,0))</f>
        <v>2372.35</v>
      </c>
      <c r="AM455" s="393"/>
      <c r="AN455" s="391">
        <f t="shared" si="89"/>
        <v>-2222.35</v>
      </c>
      <c r="AO455" s="394">
        <f t="shared" si="88"/>
        <v>-0.93677155563049297</v>
      </c>
      <c r="AP455" s="79"/>
      <c r="AQ455" s="79">
        <v>150</v>
      </c>
      <c r="AR455" s="101" t="s">
        <v>3020</v>
      </c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 customHeight="1">
      <c r="A456" t="str">
        <f t="shared" si="60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>
        <f>+INDEX('Budget original'!$A$2:$AO$501,MATCH($A456,'Budget original'!$A$2:$A$501,0),MATCH(F$2,'Budget original'!$A$2:$AO$2,0))</f>
        <v>0</v>
      </c>
      <c r="AA456" s="398"/>
      <c r="AB456" s="404"/>
      <c r="AC456" s="87"/>
      <c r="AD456" s="405"/>
      <c r="AE456" s="404"/>
      <c r="AF456" s="87">
        <f>SUMIFS(BV_Data_An_Cour!$O:$O,BV_Data_An_Cour!$V:$V,$V456)</f>
        <v>0</v>
      </c>
      <c r="AG456" s="399"/>
      <c r="AH456" s="400">
        <f t="shared" si="86"/>
        <v>0</v>
      </c>
      <c r="AI456" s="401">
        <f t="shared" si="87"/>
        <v>0</v>
      </c>
      <c r="AJ456" s="405"/>
      <c r="AK456" s="398"/>
      <c r="AL456" s="87">
        <f>+INDEX('Réel 2024'!$A$2:$AO$501,MATCH($A456,'Réel 2024'!$A$2:$A$501,0),MATCH(F$2,'Réel 2024'!$A$2:$AO$2,0))</f>
        <v>0</v>
      </c>
      <c r="AM456" s="402"/>
      <c r="AN456" s="400">
        <f t="shared" si="89"/>
        <v>0</v>
      </c>
      <c r="AO456" s="212">
        <f t="shared" si="88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0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f>+INDEX('Budget original'!$A$2:$AO$501,MATCH($A457,'Budget original'!$A$2:$A$501,0),MATCH(F$2,'Budget original'!$A$2:$AO$2,0))</f>
        <v>4854</v>
      </c>
      <c r="AA457" s="388"/>
      <c r="AB457" s="407"/>
      <c r="AC457" s="389"/>
      <c r="AD457" s="408"/>
      <c r="AE457" s="407"/>
      <c r="AF457" s="389">
        <f>SUMIF(BV_Data_An_Cour!$V:$V,Print_Mois!$V457,BV_Data_An_Cour!$O:$O)</f>
        <v>3571.17</v>
      </c>
      <c r="AG457" s="390"/>
      <c r="AH457" s="391">
        <f t="shared" si="86"/>
        <v>-1282.83</v>
      </c>
      <c r="AI457" s="409">
        <f t="shared" si="87"/>
        <v>-0.26428306551297898</v>
      </c>
      <c r="AJ457" s="408"/>
      <c r="AK457" s="388"/>
      <c r="AL457" s="389">
        <f>+INDEX('Réel 2024'!$A$2:$AO$501,MATCH($A457,'Réel 2024'!$A$2:$A$501,0),MATCH(F$2,'Réel 2024'!$A$2:$AO$2,0))</f>
        <v>4349.75</v>
      </c>
      <c r="AM457" s="393"/>
      <c r="AN457" s="391">
        <f t="shared" si="89"/>
        <v>-778.57999999999993</v>
      </c>
      <c r="AO457" s="394">
        <f t="shared" si="88"/>
        <v>-0.17899419506868208</v>
      </c>
      <c r="AP457" s="79"/>
      <c r="AQ457" s="79">
        <v>3571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0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>
        <f>+INDEX('Budget original'!$A$2:$AO$501,MATCH($A458,'Budget original'!$A$2:$A$501,0),MATCH(F$2,'Budget original'!$A$2:$AO$2,0))</f>
        <v>5000</v>
      </c>
      <c r="AA458" s="244"/>
      <c r="AB458" s="237"/>
      <c r="AC458" s="87"/>
      <c r="AD458" s="405"/>
      <c r="AE458" s="404"/>
      <c r="AF458" s="87">
        <f>SUMIFS(BV_Data_An_Cour!$O:$O,BV_Data_An_Cour!$V:$V,$V458)</f>
        <v>11054.28</v>
      </c>
      <c r="AG458" s="399"/>
      <c r="AH458" s="400">
        <f t="shared" si="86"/>
        <v>6054.2800000000007</v>
      </c>
      <c r="AI458" s="401">
        <f t="shared" si="87"/>
        <v>1.2108560000000002</v>
      </c>
      <c r="AJ458" s="405"/>
      <c r="AK458" s="398"/>
      <c r="AL458" s="87">
        <f>+INDEX('Réel 2024'!$A$2:$AO$501,MATCH($A458,'Réel 2024'!$A$2:$A$501,0),MATCH(F$2,'Réel 2024'!$A$2:$AO$2,0))</f>
        <v>4766.5</v>
      </c>
      <c r="AM458" s="402"/>
      <c r="AN458" s="400">
        <f t="shared" si="89"/>
        <v>6287.7800000000007</v>
      </c>
      <c r="AO458" s="212">
        <f t="shared" si="88"/>
        <v>1.3191608098185252</v>
      </c>
      <c r="AP458" s="79"/>
      <c r="AQ458" s="79">
        <f>2439+8616</f>
        <v>11055</v>
      </c>
      <c r="AR458" s="101" t="s">
        <v>3041</v>
      </c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0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219</v>
      </c>
      <c r="X459" s="398"/>
      <c r="Y459" s="404"/>
      <c r="Z459" s="87">
        <f>+INDEX('Budget original'!$A$2:$AO$501,MATCH($A459,'Budget original'!$A$2:$A$501,0),MATCH(F$2,'Budget original'!$A$2:$AO$2,0))</f>
        <v>6541.333333333333</v>
      </c>
      <c r="AA459" s="398"/>
      <c r="AB459" s="404"/>
      <c r="AC459" s="87"/>
      <c r="AD459" s="405"/>
      <c r="AE459" s="404"/>
      <c r="AF459" s="87">
        <f>SUMIFS(BV_Data_An_Cour!$O:$O,BV_Data_An_Cour!$V:$V,$V459)</f>
        <v>0</v>
      </c>
      <c r="AG459" s="399"/>
      <c r="AH459" s="400">
        <f t="shared" si="86"/>
        <v>-6541.333333333333</v>
      </c>
      <c r="AI459" s="401">
        <f t="shared" si="87"/>
        <v>-1</v>
      </c>
      <c r="AJ459" s="405"/>
      <c r="AK459" s="398"/>
      <c r="AL459" s="87">
        <f>+INDEX('Réel 2024'!$A$2:$AO$501,MATCH($A459,'Réel 2024'!$A$2:$A$501,0),MATCH(F$2,'Réel 2024'!$A$2:$AO$2,0))</f>
        <v>6307.33</v>
      </c>
      <c r="AM459" s="402"/>
      <c r="AN459" s="400">
        <f t="shared" si="89"/>
        <v>-6307.33</v>
      </c>
      <c r="AO459" s="212">
        <f t="shared" si="88"/>
        <v>-1</v>
      </c>
      <c r="AP459" s="79"/>
      <c r="AQ459" s="79">
        <v>0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0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1976</v>
      </c>
      <c r="X460" s="388"/>
      <c r="Y460" s="407"/>
      <c r="Z460" s="389">
        <f>+INDEX('Budget original'!$A$2:$AO$501,MATCH($A460,'Budget original'!$A$2:$A$501,0),MATCH(F$2,'Budget original'!$A$2:$AO$2,0))</f>
        <v>433.33333333333331</v>
      </c>
      <c r="AA460" s="388"/>
      <c r="AB460" s="407"/>
      <c r="AC460" s="389"/>
      <c r="AD460" s="408"/>
      <c r="AE460" s="407"/>
      <c r="AF460" s="389">
        <f>SUMIFS(BV_Data_An_Cour!$O:$O,BV_Data_An_Cour!$V:$V,$V460)</f>
        <v>371</v>
      </c>
      <c r="AG460" s="390"/>
      <c r="AH460" s="391">
        <f t="shared" si="86"/>
        <v>-62.333333333333314</v>
      </c>
      <c r="AI460" s="409">
        <f t="shared" si="87"/>
        <v>-0.14384615384615382</v>
      </c>
      <c r="AJ460" s="408"/>
      <c r="AK460" s="388"/>
      <c r="AL460" s="389">
        <f>+INDEX('Réel 2024'!$A$2:$AO$501,MATCH($A460,'Réel 2024'!$A$2:$A$501,0),MATCH(F$2,'Réel 2024'!$A$2:$AO$2,0))</f>
        <v>121.89</v>
      </c>
      <c r="AM460" s="393"/>
      <c r="AN460" s="391">
        <f t="shared" si="89"/>
        <v>249.11</v>
      </c>
      <c r="AO460" s="394">
        <f t="shared" si="88"/>
        <v>2.0437279514316189</v>
      </c>
      <c r="AP460" s="79"/>
      <c r="AQ460" s="79">
        <v>371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0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>
        <f>+INDEX('Budget original'!$A$2:$AO$501,MATCH($A461,'Budget original'!$A$2:$A$501,0),MATCH(F$2,'Budget original'!$A$2:$AO$2,0))</f>
        <v>212.00000000000003</v>
      </c>
      <c r="AA461" s="398"/>
      <c r="AB461" s="404"/>
      <c r="AC461" s="87"/>
      <c r="AD461" s="405"/>
      <c r="AE461" s="404"/>
      <c r="AF461" s="87">
        <f>SUMIFS(BV_Data_An_Cour!$O:$O,BV_Data_An_Cour!$V:$V,$V461)</f>
        <v>345.59999999999997</v>
      </c>
      <c r="AG461" s="399"/>
      <c r="AH461" s="400">
        <f t="shared" si="86"/>
        <v>133.59999999999994</v>
      </c>
      <c r="AI461" s="418">
        <f t="shared" si="87"/>
        <v>0.63018867924528266</v>
      </c>
      <c r="AJ461" s="398"/>
      <c r="AK461" s="398"/>
      <c r="AL461" s="87">
        <f>+INDEX('Réel 2024'!$A$2:$AO$501,MATCH($A461,'Réel 2024'!$A$2:$A$501,0),MATCH(F$2,'Réel 2024'!$A$2:$AO$2,0))</f>
        <v>173.95999999999901</v>
      </c>
      <c r="AM461" s="402"/>
      <c r="AN461" s="400">
        <f t="shared" si="89"/>
        <v>171.64000000000095</v>
      </c>
      <c r="AO461" s="212">
        <f t="shared" si="88"/>
        <v>0.98666360082778759</v>
      </c>
      <c r="AP461" s="79"/>
      <c r="AQ461" s="79">
        <v>346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 customHeight="1">
      <c r="A462" t="str">
        <f t="shared" si="60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>
        <f>+INDEX('Réel 2024'!$A$2:$AO$501,MATCH($A462,'Réel 2024'!$A$2:$A$501,0),MATCH(F$2,'Réel 2024'!$A$2:$AO$2,0))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60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f>IFERROR(SUMIF($C:$C,$V463,F:F),0)</f>
        <v>0</v>
      </c>
      <c r="AA463" s="398"/>
      <c r="AB463" s="398"/>
      <c r="AC463" s="400"/>
      <c r="AD463" s="405"/>
      <c r="AE463" s="404"/>
      <c r="AF463" s="87">
        <f>+SUMIF($C:$C,$V463,L:L)</f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f>IFERROR(SUMIF($C:$C,$V463,Q:Q),0)</f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60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f>IFERROR(SUMIF($C:$C,$V464,F:F),0)</f>
        <v>0</v>
      </c>
      <c r="AA464" s="398"/>
      <c r="AB464" s="398"/>
      <c r="AC464" s="400"/>
      <c r="AD464" s="405"/>
      <c r="AE464" s="404"/>
      <c r="AF464" s="87">
        <f>+SUMIF($C:$C,$V464,L:L)</f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f>IFERROR(SUMIF($C:$C,$V464,Q:Q),0)</f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60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f>IFERROR(SUMIF($C:$C,$V465,F:F),0)</f>
        <v>0</v>
      </c>
      <c r="AA465" s="398"/>
      <c r="AB465" s="398"/>
      <c r="AC465" s="400"/>
      <c r="AD465" s="405"/>
      <c r="AE465" s="404"/>
      <c r="AF465" s="87">
        <f>+SUMIF($C:$C,$V465,L:L)</f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f>IFERROR(SUMIF($C:$C,$V465,Q:Q),0)</f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0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0.26994026099900326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0.26951850978332065</v>
      </c>
      <c r="AE466" s="88"/>
      <c r="AF466" s="90">
        <f>SUM(AF453:AF465)</f>
        <v>55492.049999999996</v>
      </c>
      <c r="AG466" s="99"/>
      <c r="AH466" s="93">
        <f>SUM(AH453:AH465)</f>
        <v>-20024.436666666668</v>
      </c>
      <c r="AI466" s="89">
        <f>IF(Z466=0,0,AH466/Z466)</f>
        <v>-0.26516642326139295</v>
      </c>
      <c r="AJ466" s="91">
        <f>IF($AL$407=0,0,AL466/$AL$407)</f>
        <v>0.19269449768259536</v>
      </c>
      <c r="AK466" s="89"/>
      <c r="AL466" s="90">
        <f>SUM(AL453:AL465)</f>
        <v>73627.289999999994</v>
      </c>
      <c r="AM466" s="100"/>
      <c r="AN466" s="93">
        <f>SUM(AN453:AN465)</f>
        <v>-18135.240000000002</v>
      </c>
      <c r="AO466" s="551">
        <f t="shared" ref="AO466:AO483" si="90">IF(AL466=0,0,AN466/AL466)</f>
        <v>-0.24631138807363415</v>
      </c>
      <c r="AP466" s="79"/>
      <c r="AQ466" s="79"/>
      <c r="AR466" s="101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0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91">AF467-Z467</f>
        <v>0</v>
      </c>
      <c r="AI467" s="401"/>
      <c r="AJ467" s="405"/>
      <c r="AK467" s="398"/>
      <c r="AL467" s="105"/>
      <c r="AM467" s="419"/>
      <c r="AN467" s="400">
        <f t="shared" ref="AN467:AN473" si="92">AF467-AL467</f>
        <v>0</v>
      </c>
      <c r="AO467" s="420">
        <f t="shared" si="90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0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1.5003255964473321</v>
      </c>
      <c r="Y468" s="88"/>
      <c r="Z468" s="90">
        <f>Z419+Z433+Z452+Z466</f>
        <v>419719.96870889899</v>
      </c>
      <c r="AA468" s="89"/>
      <c r="AB468" s="88"/>
      <c r="AC468" s="90"/>
      <c r="AD468" s="91">
        <f>AF468/AF407</f>
        <v>1.5466204142262434</v>
      </c>
      <c r="AE468" s="88"/>
      <c r="AF468" s="90">
        <f>AF419+AF433+AF452+AF466</f>
        <v>318438.75</v>
      </c>
      <c r="AG468" s="99"/>
      <c r="AH468" s="93">
        <f t="shared" si="91"/>
        <v>-101281.21870889899</v>
      </c>
      <c r="AI468" s="89">
        <f>AH468/Z468</f>
        <v>-0.24130664790729459</v>
      </c>
      <c r="AJ468" s="91">
        <f>IF($AL$407=0,0,AL468/$AL$407)</f>
        <v>1.254887463763112</v>
      </c>
      <c r="AK468" s="89"/>
      <c r="AL468" s="90">
        <f>AL419+AL433+AL452+AL466</f>
        <v>479484.18</v>
      </c>
      <c r="AM468" s="100"/>
      <c r="AN468" s="93">
        <f t="shared" si="92"/>
        <v>-161045.43</v>
      </c>
      <c r="AO468" s="396">
        <f t="shared" si="90"/>
        <v>-0.33587224921581355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0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>
        <f>+INDEX('Budget original'!$A$2:$AO$501,MATCH($A469,'Budget original'!$A$2:$A$501,0),MATCH(F$2,'Budget original'!$A$2:$AO$2,0))</f>
        <v>0</v>
      </c>
      <c r="AA469" s="239"/>
      <c r="AB469" s="240"/>
      <c r="AC469" s="238"/>
      <c r="AD469" s="242"/>
      <c r="AE469" s="240"/>
      <c r="AF469" s="87">
        <f>-SUMIFS(BV_Data_An_Cour!$O:$O,BV_Data_An_Cour!$V:$V,$V469)</f>
        <v>0.15</v>
      </c>
      <c r="AG469" s="241"/>
      <c r="AH469" s="400">
        <f t="shared" si="91"/>
        <v>0.15</v>
      </c>
      <c r="AI469" s="418" t="e">
        <f>IF(AH469=0,0,AH469/Z469)</f>
        <v>#DIV/0!</v>
      </c>
      <c r="AJ469" s="242"/>
      <c r="AK469" s="239"/>
      <c r="AL469" s="421">
        <f>+INDEX('Réel 2024'!$A$2:$AO$501,MATCH($A469,'Réel 2024'!$A$2:$A$501,0),MATCH(F$2,'Réel 2024'!$A$2:$AO$2,0))</f>
        <v>875.8</v>
      </c>
      <c r="AM469" s="243"/>
      <c r="AN469" s="400">
        <f t="shared" si="92"/>
        <v>-875.65</v>
      </c>
      <c r="AO469" s="212">
        <f t="shared" si="90"/>
        <v>-0.99982872802009592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0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>+SUMIF($C:$C,$V470,F:F)</f>
        <v>30803.461527272728</v>
      </c>
      <c r="AA470" s="244"/>
      <c r="AB470" s="237"/>
      <c r="AC470" s="87"/>
      <c r="AD470" s="246"/>
      <c r="AE470" s="237"/>
      <c r="AF470" s="87">
        <f t="shared" ref="AF470:AF476" si="93">+SUMIF($C:$C,$V470,L:L)</f>
        <v>32718</v>
      </c>
      <c r="AG470" s="245"/>
      <c r="AH470" s="400">
        <f t="shared" si="91"/>
        <v>1914.5384727272722</v>
      </c>
      <c r="AI470" s="97">
        <f>IF(Z470=0,0,AH470/Z470)</f>
        <v>6.2153354779045877E-2</v>
      </c>
      <c r="AJ470" s="246"/>
      <c r="AK470" s="244"/>
      <c r="AL470" s="247">
        <f>+SUMIF($C:$C,$V470,Q:Q)</f>
        <v>44065</v>
      </c>
      <c r="AM470" s="248"/>
      <c r="AN470" s="400">
        <f t="shared" si="92"/>
        <v>-11347</v>
      </c>
      <c r="AO470" s="212">
        <f t="shared" si="90"/>
        <v>-0.25750595710881652</v>
      </c>
      <c r="AP470" s="79"/>
      <c r="AQ470" s="79">
        <v>32718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0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>+INDEX('Budget original'!$A$2:$AO$501,MATCH($A471,'Budget original'!$A$2:$A$501,0),MATCH(F$2,'Budget original'!$A$2:$AO$2,0))</f>
        <v>28493.201912727272</v>
      </c>
      <c r="AA471" s="244"/>
      <c r="AB471" s="237"/>
      <c r="AC471" s="87"/>
      <c r="AD471" s="246"/>
      <c r="AE471" s="237"/>
      <c r="AF471" s="87">
        <f t="shared" si="93"/>
        <v>20598</v>
      </c>
      <c r="AG471" s="245"/>
      <c r="AH471" s="400">
        <f t="shared" si="91"/>
        <v>-7895.2019127272724</v>
      </c>
      <c r="AI471" s="97">
        <f t="shared" ref="AI471:AI480" si="94">IF(AH471=0,0,AH471/Z471)</f>
        <v>-0.27709072279450148</v>
      </c>
      <c r="AJ471" s="246"/>
      <c r="AK471" s="244"/>
      <c r="AL471" s="247">
        <f>+INDEX('Réel 2024'!$A$2:$AO$501,MATCH($A471,'Réel 2024'!$A$2:$A$501,0),MATCH(F$2,'Réel 2024'!$A$2:$AO$2,0))</f>
        <v>31920</v>
      </c>
      <c r="AM471" s="248"/>
      <c r="AN471" s="400">
        <f t="shared" si="92"/>
        <v>-11322</v>
      </c>
      <c r="AO471" s="212">
        <f t="shared" si="90"/>
        <v>-0.35469924812030074</v>
      </c>
      <c r="AP471" s="79"/>
      <c r="AQ471" s="79">
        <v>20598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60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>+SUMIF($C:$C,$V472,F:F)</f>
        <v>0</v>
      </c>
      <c r="AA472" s="244"/>
      <c r="AB472" s="237"/>
      <c r="AC472" s="87"/>
      <c r="AD472" s="246"/>
      <c r="AE472" s="237"/>
      <c r="AF472" s="87">
        <f t="shared" si="93"/>
        <v>0</v>
      </c>
      <c r="AG472" s="245"/>
      <c r="AH472" s="400">
        <f t="shared" si="91"/>
        <v>0</v>
      </c>
      <c r="AI472" s="97">
        <f t="shared" si="94"/>
        <v>0</v>
      </c>
      <c r="AJ472" s="246"/>
      <c r="AK472" s="244"/>
      <c r="AL472" s="247">
        <f>+SUMIF($C:$C,$V472,Q:Q)</f>
        <v>0</v>
      </c>
      <c r="AM472" s="248"/>
      <c r="AN472" s="400">
        <f t="shared" si="92"/>
        <v>0</v>
      </c>
      <c r="AO472" s="212">
        <f t="shared" si="90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60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 t="shared" si="93"/>
        <v>0</v>
      </c>
      <c r="AG473" s="245"/>
      <c r="AH473" s="400">
        <f t="shared" si="91"/>
        <v>0</v>
      </c>
      <c r="AI473" s="97">
        <f t="shared" si="94"/>
        <v>0</v>
      </c>
      <c r="AJ473" s="246"/>
      <c r="AK473" s="244"/>
      <c r="AL473" s="247">
        <f>+SUMIF($C:$C,$V473,Q:Q)</f>
        <v>0</v>
      </c>
      <c r="AM473" s="248"/>
      <c r="AN473" s="400">
        <f t="shared" si="92"/>
        <v>0</v>
      </c>
      <c r="AO473" s="212">
        <f t="shared" si="90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0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>+INDEX('Budget original'!$A$2:$AO$501,MATCH($A474,'Budget original'!$A$2:$A$501,0),MATCH(F$2,'Budget original'!$A$2:$AO$2,0))</f>
        <v>1500</v>
      </c>
      <c r="AA474" s="244"/>
      <c r="AB474" s="237"/>
      <c r="AC474" s="87"/>
      <c r="AD474" s="246"/>
      <c r="AE474" s="237"/>
      <c r="AF474" s="87">
        <f t="shared" si="93"/>
        <v>0</v>
      </c>
      <c r="AG474" s="245"/>
      <c r="AH474" s="400">
        <f t="shared" si="91"/>
        <v>-1500</v>
      </c>
      <c r="AI474" s="97">
        <f t="shared" si="94"/>
        <v>-1</v>
      </c>
      <c r="AJ474" s="246"/>
      <c r="AK474" s="244"/>
      <c r="AL474" s="247">
        <f>+INDEX('Réel 2024'!$A$2:$AO$501,MATCH($A474,'Réel 2024'!$A$2:$A$501,0),MATCH(F$2,'Réel 2024'!$A$2:$AO$2,0))</f>
        <v>0</v>
      </c>
      <c r="AM474" s="248"/>
      <c r="AN474" s="400">
        <f t="shared" ref="AN474:AN483" si="95">AF474-AL474</f>
        <v>0</v>
      </c>
      <c r="AO474" s="212">
        <f t="shared" si="90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0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>+SUMIF($C:$C,$V475,F:F)</f>
        <v>536</v>
      </c>
      <c r="AA475" s="244"/>
      <c r="AB475" s="237"/>
      <c r="AC475" s="87"/>
      <c r="AD475" s="246"/>
      <c r="AE475" s="237"/>
      <c r="AF475" s="87">
        <f t="shared" si="93"/>
        <v>0</v>
      </c>
      <c r="AG475" s="245"/>
      <c r="AH475" s="400">
        <f t="shared" si="91"/>
        <v>-536</v>
      </c>
      <c r="AI475" s="97">
        <f t="shared" si="94"/>
        <v>-1</v>
      </c>
      <c r="AJ475" s="246"/>
      <c r="AK475" s="244"/>
      <c r="AL475" s="247">
        <f>+SUMIF($C:$C,$V475,Q:Q)</f>
        <v>-1450</v>
      </c>
      <c r="AM475" s="248"/>
      <c r="AN475" s="400">
        <f t="shared" si="95"/>
        <v>1450</v>
      </c>
      <c r="AO475" s="212">
        <f t="shared" si="90"/>
        <v>-1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60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 t="shared" si="93"/>
        <v>0</v>
      </c>
      <c r="AG476" s="245"/>
      <c r="AH476" s="400">
        <f t="shared" si="91"/>
        <v>0</v>
      </c>
      <c r="AI476" s="97">
        <f t="shared" si="94"/>
        <v>0</v>
      </c>
      <c r="AJ476" s="246"/>
      <c r="AK476" s="244"/>
      <c r="AL476" s="247">
        <f>+SUMIF($C:$C,$V476,Q:Q)</f>
        <v>0</v>
      </c>
      <c r="AM476" s="248"/>
      <c r="AN476" s="400">
        <f t="shared" si="95"/>
        <v>0</v>
      </c>
      <c r="AO476" s="212">
        <f t="shared" si="90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0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>
        <f>+INDEX('Budget original'!$A$2:$AO$501,MATCH($A477,'Budget original'!$A$2:$A$501,0),MATCH(F$2,'Budget original'!$A$2:$AO$2,0))</f>
        <v>16171.817301818184</v>
      </c>
      <c r="AA477" s="244"/>
      <c r="AB477" s="237"/>
      <c r="AC477" s="87"/>
      <c r="AD477" s="246"/>
      <c r="AE477" s="237"/>
      <c r="AF477" s="87">
        <f>-SUMIFS(BV_Data_An_Cour!$O:$O,BV_Data_An_Cour!$V:$V,$V477)</f>
        <v>10164</v>
      </c>
      <c r="AG477" s="245"/>
      <c r="AH477" s="400">
        <f t="shared" si="91"/>
        <v>-6007.8173018181842</v>
      </c>
      <c r="AI477" s="97">
        <f t="shared" si="94"/>
        <v>-0.37149920690377392</v>
      </c>
      <c r="AJ477" s="246"/>
      <c r="AK477" s="244"/>
      <c r="AL477" s="247">
        <f>+INDEX('Réel 2024'!$A$2:$AO$501,MATCH($A477,'Réel 2024'!$A$2:$A$501,0),MATCH(F$2,'Réel 2024'!$A$2:$AO$2,0))</f>
        <v>12600</v>
      </c>
      <c r="AM477" s="248"/>
      <c r="AN477" s="400">
        <f t="shared" si="95"/>
        <v>-2436</v>
      </c>
      <c r="AO477" s="212">
        <f t="shared" si="90"/>
        <v>-0.19333333333333333</v>
      </c>
      <c r="AP477" s="79"/>
      <c r="AQ477" s="79">
        <v>10164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60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>IFERROR(SUMIF($C:$C,$V478,F:F),0)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91"/>
        <v>0</v>
      </c>
      <c r="AI478" s="401">
        <f t="shared" si="94"/>
        <v>0</v>
      </c>
      <c r="AJ478" s="405"/>
      <c r="AK478" s="398"/>
      <c r="AL478" s="87">
        <f>+SUMIF($C:$C,$V478,Q:Q)</f>
        <v>0</v>
      </c>
      <c r="AM478" s="248"/>
      <c r="AN478" s="400">
        <f t="shared" si="95"/>
        <v>0</v>
      </c>
      <c r="AO478" s="212">
        <f t="shared" si="90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60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IFERROR(SUMIF($C:$C,$V479,F:F),0)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91"/>
        <v>0</v>
      </c>
      <c r="AI479" s="401">
        <f t="shared" si="94"/>
        <v>0</v>
      </c>
      <c r="AJ479" s="405"/>
      <c r="AK479" s="398"/>
      <c r="AL479" s="87">
        <f>+SUMIF($C:$C,$V479,Q:Q)</f>
        <v>0</v>
      </c>
      <c r="AM479" s="248"/>
      <c r="AN479" s="400">
        <f t="shared" si="95"/>
        <v>0</v>
      </c>
      <c r="AO479" s="212">
        <f t="shared" si="90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0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>+SUMIF($C:$C,$V480,F:F)</f>
        <v>16475.55</v>
      </c>
      <c r="AA480" s="244"/>
      <c r="AB480" s="237"/>
      <c r="AC480" s="87"/>
      <c r="AD480" s="246"/>
      <c r="AE480" s="237"/>
      <c r="AF480" s="87">
        <f>+SUMIF($C:$C,$V480,L:L)</f>
        <v>7140</v>
      </c>
      <c r="AG480" s="245"/>
      <c r="AH480" s="400">
        <f t="shared" si="91"/>
        <v>-9335.5499999999993</v>
      </c>
      <c r="AI480" s="97">
        <f t="shared" si="94"/>
        <v>-0.56663055254604544</v>
      </c>
      <c r="AJ480" s="246"/>
      <c r="AK480" s="244"/>
      <c r="AL480" s="247">
        <f>+INDEX('Réel 2024'!$A$2:$AO$501,MATCH($A480,'Réel 2024'!$A$2:$A$501,0),MATCH(F$2,'Réel 2024'!$A$2:$AO$2,0))</f>
        <v>21420</v>
      </c>
      <c r="AM480" s="248"/>
      <c r="AN480" s="400">
        <f t="shared" si="95"/>
        <v>-14280</v>
      </c>
      <c r="AO480" s="212">
        <f t="shared" si="90"/>
        <v>-0.66666666666666663</v>
      </c>
      <c r="AP480" s="79"/>
      <c r="AQ480" s="79">
        <v>7140</v>
      </c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0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0.33593980794049233</v>
      </c>
      <c r="Y481" s="103"/>
      <c r="Z481" s="90">
        <f>SUM(Z469:Z480)</f>
        <v>93980.030741818191</v>
      </c>
      <c r="AA481" s="89"/>
      <c r="AB481" s="103"/>
      <c r="AC481" s="90"/>
      <c r="AD481" s="89">
        <f>AF481/+AF407</f>
        <v>0.34299395298379809</v>
      </c>
      <c r="AE481" s="103"/>
      <c r="AF481" s="90">
        <f>SUM(AF469:AF480)</f>
        <v>70620.149999999994</v>
      </c>
      <c r="AG481" s="99"/>
      <c r="AH481" s="93">
        <f t="shared" si="91"/>
        <v>-23359.880741818197</v>
      </c>
      <c r="AI481" s="89">
        <f>AH481/Z481</f>
        <v>-0.2485621738727925</v>
      </c>
      <c r="AJ481" s="109"/>
      <c r="AK481" s="110"/>
      <c r="AL481" s="90">
        <f>SUM(AL469:AL480)</f>
        <v>109430.8</v>
      </c>
      <c r="AM481" s="111"/>
      <c r="AN481" s="93">
        <f t="shared" si="95"/>
        <v>-38810.650000000009</v>
      </c>
      <c r="AO481" s="551">
        <f t="shared" si="90"/>
        <v>-0.3546592915340106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0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5"/>
        <v>0</v>
      </c>
      <c r="AO482" s="423">
        <f t="shared" si="90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0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-1.5936778813370103E-2</v>
      </c>
      <c r="Z483" s="428">
        <f>Z407-Z468+Z481</f>
        <v>-45987.349793708941</v>
      </c>
      <c r="AA483" s="426"/>
      <c r="AB483" s="427"/>
      <c r="AC483" s="428"/>
      <c r="AD483" s="426" t="s">
        <v>247</v>
      </c>
      <c r="AE483" s="427">
        <f>AF483/AF406</f>
        <v>-2.128328924066791E-2</v>
      </c>
      <c r="AF483" s="215">
        <f>AF407-AF468+AF481</f>
        <v>-41925.319999999949</v>
      </c>
      <c r="AG483" s="429"/>
      <c r="AH483" s="215">
        <f>AF483-Z483</f>
        <v>4062.0297937089927</v>
      </c>
      <c r="AI483" s="745">
        <f>AH483/Z483</f>
        <v>-8.8329286465311324E-2</v>
      </c>
      <c r="AJ483" s="430" t="s">
        <v>247</v>
      </c>
      <c r="AK483" s="427">
        <f>IF($AL$406=0,0,AL483/$AL$406)</f>
        <v>2.8272462994784085E-3</v>
      </c>
      <c r="AL483" s="215">
        <f>AL407-AL468+AL481</f>
        <v>12039.989999999714</v>
      </c>
      <c r="AM483" s="216"/>
      <c r="AN483" s="215">
        <f t="shared" si="95"/>
        <v>-53965.309999999663</v>
      </c>
      <c r="AO483" s="431">
        <f t="shared" si="90"/>
        <v>-4.4821723273857321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0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96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 customHeight="1">
      <c r="A486" t="str">
        <f t="shared" si="96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6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-6.3449396332091084E-3</v>
      </c>
      <c r="Z488" s="1123">
        <f>Z489+Z415</f>
        <v>-18309.029807677383</v>
      </c>
      <c r="AA488" s="1120"/>
      <c r="AB488" s="1121"/>
      <c r="AC488" s="1122"/>
      <c r="AD488" s="1120" t="s">
        <v>247</v>
      </c>
      <c r="AE488" s="1121">
        <f>AF488/AF406</f>
        <v>-8.8209511739790244E-3</v>
      </c>
      <c r="AF488" s="1123">
        <f>AF489+AF415</f>
        <v>-17376.12999999995</v>
      </c>
      <c r="AG488" s="1124"/>
      <c r="AH488" s="1123">
        <f t="shared" ref="AH488" si="97">AF488-Z488</f>
        <v>932.89980767743327</v>
      </c>
      <c r="AI488" s="1182">
        <f>AH488/Z488</f>
        <v>-5.0952989725662451E-2</v>
      </c>
      <c r="AJ488" s="1120" t="s">
        <v>247</v>
      </c>
      <c r="AK488" s="1121">
        <f>IF($AL$406=0,0,AL488/$AL$406)</f>
        <v>1.0218629987301503E-2</v>
      </c>
      <c r="AL488" s="1123">
        <f>AL489+AL415</f>
        <v>43516.619999999719</v>
      </c>
      <c r="AM488" s="1125"/>
      <c r="AN488" s="1123">
        <f t="shared" ref="AN488" si="98">AF488-AL488</f>
        <v>-60892.749999999665</v>
      </c>
      <c r="AO488" s="1126">
        <f t="shared" ref="AO488" si="99">IF(AL488=0,0,AN488/AL488)</f>
        <v>-1.3992987047247709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96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-1.5936778813370103E-2</v>
      </c>
      <c r="Z489" s="436">
        <f>Z483</f>
        <v>-45987.349793708941</v>
      </c>
      <c r="AA489" s="434"/>
      <c r="AB489" s="435"/>
      <c r="AC489" s="436"/>
      <c r="AD489" s="434" t="s">
        <v>247</v>
      </c>
      <c r="AE489" s="435">
        <f>AF489/AF406</f>
        <v>-2.128328924066791E-2</v>
      </c>
      <c r="AF489" s="436">
        <f>AF483</f>
        <v>-41925.319999999949</v>
      </c>
      <c r="AG489" s="437"/>
      <c r="AH489" s="215">
        <f>AF489-Z489</f>
        <v>4062.0297937089927</v>
      </c>
      <c r="AI489" s="745">
        <f>AH489/Z489</f>
        <v>-8.8329286465311324E-2</v>
      </c>
      <c r="AJ489" s="434" t="s">
        <v>247</v>
      </c>
      <c r="AK489" s="435">
        <f>IF($AL$406=0,0,AL489/$AL$406)</f>
        <v>2.8272462994784085E-3</v>
      </c>
      <c r="AL489" s="438">
        <f>AL483</f>
        <v>12039.989999999714</v>
      </c>
      <c r="AM489" s="439"/>
      <c r="AN489" s="440">
        <f>AF489-AL489</f>
        <v>-53965.309999999663</v>
      </c>
      <c r="AO489" s="441">
        <f>IF(AL489=0,0,AN489/AL489)</f>
        <v>-4.4821723273857321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thickTop="1">
      <c r="A490" t="str">
        <f t="shared" si="96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96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>
        <f>+INDEX('Budget original'!$A$2:$AO$501,MATCH($A491,'Budget original'!$A$2:$A$501,0),MATCH(F$2,'Budget original'!$A$2:$AO$2,0))</f>
        <v>19300</v>
      </c>
      <c r="AA491" s="398"/>
      <c r="AB491" s="404"/>
      <c r="AC491" s="87"/>
      <c r="AD491" s="398"/>
      <c r="AE491" s="404"/>
      <c r="AF491" s="87">
        <f>SUMIFS(BV_Data_An_Cour!$O:$O,BV_Data_An_Cour!$V:$V,$V491)</f>
        <v>3751.2499999999995</v>
      </c>
      <c r="AG491" s="398"/>
      <c r="AH491" s="400">
        <f t="shared" ref="AH491:AH498" si="100">AF491-Z491</f>
        <v>-15548.75</v>
      </c>
      <c r="AI491" s="97">
        <f t="shared" ref="AI491:AI497" si="101">IF(Z491=0,0,AH491/Z491)</f>
        <v>-0.80563471502590678</v>
      </c>
      <c r="AJ491" s="398"/>
      <c r="AK491" s="398"/>
      <c r="AL491" s="87">
        <f>+INDEX('Réel 2024'!$A$2:$AO$501,MATCH($A491,'Réel 2024'!$A$2:$A$501,0),MATCH(F$2,'Réel 2024'!$A$2:$AO$2,0))</f>
        <v>3650.92</v>
      </c>
      <c r="AM491" s="402"/>
      <c r="AN491" s="400">
        <f t="shared" ref="AN491:AN498" si="102">AF491-AL491</f>
        <v>100.32999999999947</v>
      </c>
      <c r="AO491" s="212">
        <f t="shared" ref="AO491:AO498" si="103">IF(AL491=0,0,AN491/AL491)</f>
        <v>2.7480744579448324E-2</v>
      </c>
      <c r="AP491" s="79"/>
      <c r="AQ491" s="79">
        <v>3751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 customHeight="1">
      <c r="A492" t="str">
        <f t="shared" si="96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>
        <f>+INDEX('Budget original'!$A$2:$AO$501,MATCH($A492,'Budget original'!$A$2:$A$501,0),MATCH(F$2,'Budget original'!$A$2:$AO$2,0))</f>
        <v>0</v>
      </c>
      <c r="AA492" s="382"/>
      <c r="AB492" s="382"/>
      <c r="AC492" s="87"/>
      <c r="AD492" s="382"/>
      <c r="AE492" s="178"/>
      <c r="AF492" s="87">
        <f>SUMIFS(BV_Data_An_Cour!$O:$O,BV_Data_An_Cour!$V:$V,$V492)</f>
        <v>0</v>
      </c>
      <c r="AG492" s="382"/>
      <c r="AH492" s="400">
        <f t="shared" si="100"/>
        <v>0</v>
      </c>
      <c r="AI492" s="97">
        <f t="shared" si="101"/>
        <v>0</v>
      </c>
      <c r="AJ492" s="382"/>
      <c r="AK492" s="382"/>
      <c r="AL492" s="87">
        <f>+INDEX('Réel 2024'!$A$2:$AO$501,MATCH($A492,'Réel 2024'!$A$2:$A$501,0),MATCH(F$2,'Réel 2024'!$A$2:$AO$2,0))</f>
        <v>0</v>
      </c>
      <c r="AM492" s="445"/>
      <c r="AN492" s="400">
        <f t="shared" si="102"/>
        <v>0</v>
      </c>
      <c r="AO492" s="212">
        <f t="shared" si="103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6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>
        <f>+INDEX('Budget original'!$A$2:$AO$501,MATCH($A493,'Budget original'!$A$2:$A$501,0),MATCH(F$2,'Budget original'!$A$2:$AO$2,0))</f>
        <v>0</v>
      </c>
      <c r="AA493" s="382"/>
      <c r="AB493" s="382"/>
      <c r="AC493" s="87"/>
      <c r="AD493" s="382"/>
      <c r="AE493" s="178"/>
      <c r="AF493" s="87">
        <f>SUMIFS(BV_Data_An_Cour!$O:$O,BV_Data_An_Cour!$V:$V,$V493)</f>
        <v>0</v>
      </c>
      <c r="AG493" s="382"/>
      <c r="AH493" s="400">
        <f t="shared" si="100"/>
        <v>0</v>
      </c>
      <c r="AI493" s="97">
        <f t="shared" si="101"/>
        <v>0</v>
      </c>
      <c r="AJ493" s="382"/>
      <c r="AK493" s="382"/>
      <c r="AL493" s="87">
        <f>+INDEX('Réel 2024'!$A$2:$AO$501,MATCH($A493,'Réel 2024'!$A$2:$A$501,0),MATCH(F$2,'Réel 2024'!$A$2:$AO$2,0))</f>
        <v>0</v>
      </c>
      <c r="AM493" s="445"/>
      <c r="AN493" s="400">
        <f t="shared" si="102"/>
        <v>0</v>
      </c>
      <c r="AO493" s="212">
        <f t="shared" si="103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 customHeight="1">
      <c r="A494" t="str">
        <f t="shared" si="96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>
        <f>+INDEX('Budget original'!$A$2:$AO$501,MATCH($A494,'Budget original'!$A$2:$A$501,0),MATCH(F$2,'Budget original'!$A$2:$AO$2,0))</f>
        <v>0</v>
      </c>
      <c r="AA494" s="382"/>
      <c r="AB494" s="382"/>
      <c r="AC494" s="87"/>
      <c r="AD494" s="382"/>
      <c r="AE494" s="178"/>
      <c r="AF494" s="87">
        <f>SUMIFS(BV_Data_An_Cour!$O:$O,BV_Data_An_Cour!$V:$V,$V494)</f>
        <v>0</v>
      </c>
      <c r="AG494" s="382"/>
      <c r="AH494" s="400">
        <f t="shared" si="100"/>
        <v>0</v>
      </c>
      <c r="AI494" s="97">
        <f t="shared" si="101"/>
        <v>0</v>
      </c>
      <c r="AJ494" s="382"/>
      <c r="AK494" s="382"/>
      <c r="AL494" s="87">
        <f>+INDEX('Réel 2024'!$A$2:$AO$501,MATCH($A494,'Réel 2024'!$A$2:$A$501,0),MATCH(F$2,'Réel 2024'!$A$2:$AO$2,0))</f>
        <v>0</v>
      </c>
      <c r="AM494" s="445"/>
      <c r="AN494" s="400">
        <f t="shared" si="102"/>
        <v>0</v>
      </c>
      <c r="AO494" s="212">
        <f t="shared" si="103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96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>
        <f>IFERROR(SUMIF($C:$C,$V495,F:F),0)</f>
        <v>0</v>
      </c>
      <c r="AA495" s="398"/>
      <c r="AB495" s="398"/>
      <c r="AC495" s="400"/>
      <c r="AD495" s="405"/>
      <c r="AE495" s="404"/>
      <c r="AF495" s="87">
        <f>SUMIFS(BV_Data_An_Cour!$O:$O,BV_Data_An_Cour!$V:$V,$V495)</f>
        <v>0</v>
      </c>
      <c r="AG495" s="399"/>
      <c r="AH495" s="400">
        <f t="shared" si="100"/>
        <v>0</v>
      </c>
      <c r="AI495" s="401">
        <f t="shared" si="101"/>
        <v>0</v>
      </c>
      <c r="AJ495" s="405"/>
      <c r="AK495" s="398"/>
      <c r="AL495" s="87"/>
      <c r="AM495" s="445"/>
      <c r="AN495" s="400">
        <f t="shared" si="102"/>
        <v>0</v>
      </c>
      <c r="AO495" s="212">
        <f t="shared" si="103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6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2936</v>
      </c>
      <c r="W496" s="178"/>
      <c r="X496" s="178"/>
      <c r="Y496" s="178"/>
      <c r="Z496" s="400">
        <f>+INDEX('Budget original'!$A$2:$AO$501,MATCH($A496,'Budget original'!$A$2:$A$501,0),MATCH(F$2,'Budget original'!$A$2:$AO$2,0))</f>
        <v>-2632.4590163934427</v>
      </c>
      <c r="AA496" s="398"/>
      <c r="AB496" s="398"/>
      <c r="AC496" s="400"/>
      <c r="AD496" s="405"/>
      <c r="AE496" s="404"/>
      <c r="AF496" s="87">
        <f>SUMIFS(BV_Data_An_Cour!$O:$O,BV_Data_An_Cour!$V:$V,$V496)</f>
        <v>-3031.47</v>
      </c>
      <c r="AG496" s="399"/>
      <c r="AH496" s="400">
        <f t="shared" si="100"/>
        <v>-399.01098360655715</v>
      </c>
      <c r="AI496" s="401">
        <f t="shared" si="101"/>
        <v>0.15157348362187062</v>
      </c>
      <c r="AJ496" s="405"/>
      <c r="AK496" s="398"/>
      <c r="AL496" s="87">
        <f>+INDEX('Réel 2024'!$A$2:$AO$501,MATCH($A496,'Réel 2024'!$A$2:$A$501,0),MATCH(F$2,'Réel 2024'!$A$2:$AO$2,0))</f>
        <v>-4944.26</v>
      </c>
      <c r="AM496" s="445"/>
      <c r="AN496" s="400">
        <f t="shared" si="102"/>
        <v>1912.7900000000004</v>
      </c>
      <c r="AO496" s="212">
        <f t="shared" si="103"/>
        <v>-0.38687083608062689</v>
      </c>
      <c r="AP496" s="79"/>
      <c r="AQ496" s="101">
        <v>-3031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customHeight="1" thickBot="1">
      <c r="A497" t="str">
        <f t="shared" si="96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>IFERROR(SUMIF($C:$C,$V497,F:F),0)</f>
        <v>0</v>
      </c>
      <c r="AA497" s="398"/>
      <c r="AB497" s="398"/>
      <c r="AC497" s="400"/>
      <c r="AD497" s="405"/>
      <c r="AE497" s="404"/>
      <c r="AF497" s="87">
        <f>SUMIFS(BV_Data_An_Cour!$O:$O,BV_Data_An_Cour!$V:$V,$V497)</f>
        <v>0</v>
      </c>
      <c r="AG497" s="399"/>
      <c r="AH497" s="400">
        <f t="shared" si="100"/>
        <v>0</v>
      </c>
      <c r="AI497" s="401">
        <f t="shared" si="101"/>
        <v>0</v>
      </c>
      <c r="AJ497" s="405"/>
      <c r="AK497" s="398"/>
      <c r="AL497" s="87"/>
      <c r="AM497" s="445"/>
      <c r="AN497" s="400">
        <f t="shared" si="102"/>
        <v>0</v>
      </c>
      <c r="AO497" s="212">
        <f t="shared" si="103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96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-2.1712865393920491E-2</v>
      </c>
      <c r="Z498" s="428">
        <f>Z489-Z491-Z492-Z493-Z497-Z496-Z494-Z495</f>
        <v>-62654.890777315501</v>
      </c>
      <c r="AA498" s="426"/>
      <c r="AB498" s="427"/>
      <c r="AC498" s="428"/>
      <c r="AD498" s="426" t="s">
        <v>247</v>
      </c>
      <c r="AE498" s="427">
        <f>AF498/AF406</f>
        <v>-2.1648683850169947E-2</v>
      </c>
      <c r="AF498" s="215">
        <f>AF489-AF491-AF492-AF493-AF497-AF496-AF494-AF495</f>
        <v>-42645.099999999948</v>
      </c>
      <c r="AG498" s="429"/>
      <c r="AH498" s="215">
        <f t="shared" si="100"/>
        <v>20009.790777315553</v>
      </c>
      <c r="AI498" s="745">
        <f>AH498/Z498</f>
        <v>-0.31936518488928867</v>
      </c>
      <c r="AJ498" s="430" t="s">
        <v>247</v>
      </c>
      <c r="AK498" s="427">
        <f>IF($AL$406=0,0,AL498/$AL$406)</f>
        <v>3.130950100641656E-3</v>
      </c>
      <c r="AL498" s="215">
        <f>AL489-AL491-AL492-AL493-AL497-AL496-AL494-AL495</f>
        <v>13333.329999999714</v>
      </c>
      <c r="AM498" s="216"/>
      <c r="AN498" s="215">
        <f t="shared" si="102"/>
        <v>-55978.429999999658</v>
      </c>
      <c r="AO498" s="446">
        <f t="shared" si="103"/>
        <v>-4.1983832995958892</v>
      </c>
      <c r="AP498" s="101"/>
      <c r="AQ498" s="79"/>
      <c r="AR498" s="79"/>
      <c r="AS498" s="101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2417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SUMIFS(BV_Data_An_Cour!$O:$O,BV_Data_An_Cour!$V:$V,$V500)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2418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-42645.099999999948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>
        <f>AR407-AR468+AR481-AR498</f>
        <v>0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7.2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AF500/AF498</f>
        <v>0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W505" s="79"/>
      <c r="X505" s="79"/>
      <c r="Y505" s="79"/>
      <c r="Z505" s="101"/>
      <c r="AA505" s="79"/>
      <c r="AB505" s="79"/>
      <c r="AC505" s="79"/>
      <c r="AD505" s="79" t="s">
        <v>2868</v>
      </c>
      <c r="AE505" s="79"/>
      <c r="AF505" s="1158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-42645.099999999948</v>
      </c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W509" s="79"/>
      <c r="X509" s="79"/>
      <c r="Y509" s="79"/>
      <c r="Z509" s="79"/>
      <c r="AA509" s="79"/>
      <c r="AB509" s="79"/>
      <c r="AC509" s="79"/>
      <c r="AD509" s="79" t="s">
        <v>2922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W510" s="79"/>
      <c r="X510" s="79"/>
      <c r="Y510" s="79"/>
      <c r="Z510" s="79"/>
      <c r="AA510" s="79"/>
      <c r="AB510" s="79"/>
      <c r="AC510" s="79"/>
      <c r="AD510" s="79" t="s">
        <v>2955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W511" s="79"/>
      <c r="X511" s="79"/>
      <c r="Y511" s="79"/>
      <c r="Z511" s="79"/>
      <c r="AA511" s="79"/>
      <c r="AB511" s="79"/>
      <c r="AC511" s="79"/>
      <c r="AD511" s="79" t="s">
        <v>2956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W512" s="79"/>
      <c r="X512" s="79"/>
      <c r="Y512" s="79"/>
      <c r="Z512" s="79"/>
      <c r="AA512" s="79"/>
      <c r="AB512" s="79"/>
      <c r="AC512" s="79"/>
      <c r="AD512" s="79" t="s">
        <v>2941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-42645.099999999948</v>
      </c>
      <c r="AG513" s="101">
        <f>AF513-AF505</f>
        <v>-42645.099999999948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101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8.75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8.75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  <mergeCell ref="O238:Q238"/>
    <mergeCell ref="R238:S238"/>
    <mergeCell ref="G358:I358"/>
    <mergeCell ref="J358:L358"/>
    <mergeCell ref="M358:N358"/>
    <mergeCell ref="O358:Q358"/>
    <mergeCell ref="D238:F238"/>
    <mergeCell ref="G238:I238"/>
    <mergeCell ref="J238:L238"/>
    <mergeCell ref="M238:N238"/>
    <mergeCell ref="G170:I170"/>
    <mergeCell ref="J170:L170"/>
    <mergeCell ref="M170:N170"/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</mergeCells>
  <conditionalFormatting sqref="D31:D32">
    <cfRule type="expression" dxfId="339" priority="29" stopIfTrue="1">
      <formula>"esterreur(reference)"</formula>
    </cfRule>
  </conditionalFormatting>
  <conditionalFormatting sqref="D112:D113">
    <cfRule type="expression" dxfId="338" priority="24" stopIfTrue="1">
      <formula>"esterreur(reference)"</formula>
    </cfRule>
  </conditionalFormatting>
  <conditionalFormatting sqref="F5">
    <cfRule type="expression" dxfId="337" priority="286" stopIfTrue="1">
      <formula>"esterreur(reference)"</formula>
    </cfRule>
  </conditionalFormatting>
  <conditionalFormatting sqref="F184">
    <cfRule type="expression" dxfId="336" priority="362" stopIfTrue="1">
      <formula>"esterreur(reference)"</formula>
    </cfRule>
  </conditionalFormatting>
  <conditionalFormatting sqref="G31:G32">
    <cfRule type="expression" dxfId="335" priority="28" stopIfTrue="1">
      <formula>"esterreur(reference)"</formula>
    </cfRule>
  </conditionalFormatting>
  <conditionalFormatting sqref="G112:G113">
    <cfRule type="expression" dxfId="334" priority="25" stopIfTrue="1">
      <formula>"esterreur(reference)"</formula>
    </cfRule>
  </conditionalFormatting>
  <conditionalFormatting sqref="H136:H152">
    <cfRule type="expression" dxfId="333" priority="76" stopIfTrue="1">
      <formula>"esterreur(reference)"</formula>
    </cfRule>
  </conditionalFormatting>
  <conditionalFormatting sqref="H360">
    <cfRule type="expression" dxfId="332" priority="638" stopIfTrue="1">
      <formula>"esterreur(reference)"</formula>
    </cfRule>
  </conditionalFormatting>
  <conditionalFormatting sqref="H197:L197">
    <cfRule type="expression" dxfId="331" priority="644" stopIfTrue="1">
      <formula>"esterreur(reference)"</formula>
    </cfRule>
  </conditionalFormatting>
  <conditionalFormatting sqref="H396:L399">
    <cfRule type="expression" dxfId="330" priority="635" stopIfTrue="1">
      <formula>"esterreur(reference)"</formula>
    </cfRule>
  </conditionalFormatting>
  <conditionalFormatting sqref="I377:L377 H378:H395">
    <cfRule type="expression" dxfId="329" priority="636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8" priority="612" stopIfTrue="1">
      <formula>"esterreur(reference)"</formula>
    </cfRule>
  </conditionalFormatting>
  <conditionalFormatting sqref="J49:L72">
    <cfRule type="expression" dxfId="327" priority="82" stopIfTrue="1">
      <formula>"esterreur(reference)"</formula>
    </cfRule>
  </conditionalFormatting>
  <conditionalFormatting sqref="J102:L104">
    <cfRule type="expression" dxfId="326" priority="546" stopIfTrue="1">
      <formula>"esterreur(reference)"</formula>
    </cfRule>
  </conditionalFormatting>
  <conditionalFormatting sqref="J149:L152">
    <cfRule type="expression" dxfId="325" priority="75" stopIfTrue="1">
      <formula>"esterreur(reference)"</formula>
    </cfRule>
  </conditionalFormatting>
  <conditionalFormatting sqref="J295:L303">
    <cfRule type="expression" dxfId="324" priority="446" stopIfTrue="1">
      <formula>"esterreur(reference)"</formula>
    </cfRule>
  </conditionalFormatting>
  <conditionalFormatting sqref="J307:L308">
    <cfRule type="expression" dxfId="323" priority="387" stopIfTrue="1">
      <formula>"esterreur(reference)"</formula>
    </cfRule>
  </conditionalFormatting>
  <conditionalFormatting sqref="J360:L360">
    <cfRule type="expression" dxfId="322" priority="358" stopIfTrue="1">
      <formula>"esterreur(reference)"</formula>
    </cfRule>
  </conditionalFormatting>
  <conditionalFormatting sqref="J365:L376">
    <cfRule type="expression" dxfId="321" priority="374" stopIfTrue="1">
      <formula>"esterreur(reference)"</formula>
    </cfRule>
  </conditionalFormatting>
  <conditionalFormatting sqref="J378:L394">
    <cfRule type="expression" dxfId="320" priority="372" stopIfTrue="1">
      <formula>"esterreur(reference)"</formula>
    </cfRule>
  </conditionalFormatting>
  <conditionalFormatting sqref="J312:M312">
    <cfRule type="expression" dxfId="319" priority="380" stopIfTrue="1">
      <formula>"esterreur(reference)"</formula>
    </cfRule>
  </conditionalFormatting>
  <conditionalFormatting sqref="J112:Q121">
    <cfRule type="expression" dxfId="318" priority="26" stopIfTrue="1">
      <formula>"esterreur(reference)"</formula>
    </cfRule>
  </conditionalFormatting>
  <conditionalFormatting sqref="J123:Q134">
    <cfRule type="expression" dxfId="317" priority="204" stopIfTrue="1">
      <formula>"esterreur(reference)"</formula>
    </cfRule>
  </conditionalFormatting>
  <conditionalFormatting sqref="K5">
    <cfRule type="expression" dxfId="316" priority="432" stopIfTrue="1">
      <formula>"esterreur(reference)"</formula>
    </cfRule>
  </conditionalFormatting>
  <conditionalFormatting sqref="K175">
    <cfRule type="expression" dxfId="315" priority="399" stopIfTrue="1">
      <formula>"esterreur(reference)"</formula>
    </cfRule>
  </conditionalFormatting>
  <conditionalFormatting sqref="K183:K184">
    <cfRule type="expression" dxfId="314" priority="421" stopIfTrue="1">
      <formula>"esterreur(reference)"</formula>
    </cfRule>
  </conditionalFormatting>
  <conditionalFormatting sqref="K287">
    <cfRule type="expression" dxfId="313" priority="350" stopIfTrue="1">
      <formula>"esterreur(reference)"</formula>
    </cfRule>
  </conditionalFormatting>
  <conditionalFormatting sqref="K395">
    <cfRule type="expression" dxfId="312" priority="639" stopIfTrue="1">
      <formula>"esterreur(reference)"</formula>
    </cfRule>
  </conditionalFormatting>
  <conditionalFormatting sqref="K93:L96">
    <cfRule type="expression" dxfId="311" priority="371" stopIfTrue="1">
      <formula>"esterreur(reference)"</formula>
    </cfRule>
  </conditionalFormatting>
  <conditionalFormatting sqref="K99:L100">
    <cfRule type="expression" dxfId="310" priority="550" stopIfTrue="1">
      <formula>"esterreur(reference)"</formula>
    </cfRule>
  </conditionalFormatting>
  <conditionalFormatting sqref="K171:L173">
    <cfRule type="expression" dxfId="309" priority="400" stopIfTrue="1">
      <formula>"esterreur(reference)"</formula>
    </cfRule>
  </conditionalFormatting>
  <conditionalFormatting sqref="K176:L182">
    <cfRule type="expression" dxfId="308" priority="396" stopIfTrue="1">
      <formula>"esterreur(reference)"</formula>
    </cfRule>
  </conditionalFormatting>
  <conditionalFormatting sqref="K185:L196">
    <cfRule type="expression" dxfId="307" priority="381" stopIfTrue="1">
      <formula>"esterreur(reference)"</formula>
    </cfRule>
  </conditionalFormatting>
  <conditionalFormatting sqref="K239:L241">
    <cfRule type="expression" dxfId="306" priority="363" stopIfTrue="1">
      <formula>"esterreur(reference)"</formula>
    </cfRule>
  </conditionalFormatting>
  <conditionalFormatting sqref="K244:L244">
    <cfRule type="expression" dxfId="305" priority="391" stopIfTrue="1">
      <formula>"esterreur(reference)"</formula>
    </cfRule>
  </conditionalFormatting>
  <conditionalFormatting sqref="K247:L247">
    <cfRule type="expression" dxfId="304" priority="389" stopIfTrue="1">
      <formula>"esterreur(reference)"</formula>
    </cfRule>
  </conditionalFormatting>
  <conditionalFormatting sqref="L16:L24">
    <cfRule type="expression" dxfId="303" priority="605" stopIfTrue="1">
      <formula>"esterreur(reference)"</formula>
    </cfRule>
  </conditionalFormatting>
  <conditionalFormatting sqref="L42:L48">
    <cfRule type="expression" dxfId="302" priority="586" stopIfTrue="1">
      <formula>"esterreur(reference)"</formula>
    </cfRule>
  </conditionalFormatting>
  <conditionalFormatting sqref="L75:L82">
    <cfRule type="expression" dxfId="301" priority="289" stopIfTrue="1">
      <formula>"esterreur(reference)"</formula>
    </cfRule>
  </conditionalFormatting>
  <conditionalFormatting sqref="L136:L147">
    <cfRule type="expression" dxfId="300" priority="297" stopIfTrue="1">
      <formula>"esterreur(reference)"</formula>
    </cfRule>
  </conditionalFormatting>
  <conditionalFormatting sqref="L174:L175">
    <cfRule type="expression" dxfId="299" priority="494" stopIfTrue="1">
      <formula>"esterreur(reference)"</formula>
    </cfRule>
  </conditionalFormatting>
  <conditionalFormatting sqref="L198:L209">
    <cfRule type="expression" dxfId="298" priority="479" stopIfTrue="1">
      <formula>"esterreur(reference)"</formula>
    </cfRule>
  </conditionalFormatting>
  <conditionalFormatting sqref="L211:L228">
    <cfRule type="expression" dxfId="297" priority="295" stopIfTrue="1">
      <formula>"esterreur(reference)"</formula>
    </cfRule>
  </conditionalFormatting>
  <conditionalFormatting sqref="L254:L265">
    <cfRule type="expression" dxfId="296" priority="460" stopIfTrue="1">
      <formula>"esterreur(reference)"</formula>
    </cfRule>
  </conditionalFormatting>
  <conditionalFormatting sqref="L267:L284">
    <cfRule type="expression" dxfId="295" priority="293" stopIfTrue="1">
      <formula>"esterreur(reference)"</formula>
    </cfRule>
  </conditionalFormatting>
  <conditionalFormatting sqref="L318:L329">
    <cfRule type="expression" dxfId="294" priority="436" stopIfTrue="1">
      <formula>"esterreur(reference)"</formula>
    </cfRule>
  </conditionalFormatting>
  <conditionalFormatting sqref="L331">
    <cfRule type="expression" dxfId="293" priority="291" stopIfTrue="1">
      <formula>"esterreur(reference)"</formula>
    </cfRule>
  </conditionalFormatting>
  <conditionalFormatting sqref="L334:L343 L345:L348">
    <cfRule type="expression" dxfId="292" priority="434" stopIfTrue="1">
      <formula>"esterreur(reference)"</formula>
    </cfRule>
  </conditionalFormatting>
  <conditionalFormatting sqref="L356:L357 H357:I357 K357 J357:J358 H359:L359">
    <cfRule type="expression" dxfId="291" priority="634" stopIfTrue="1">
      <formula>"esterreur(reference)"</formula>
    </cfRule>
  </conditionalFormatting>
  <conditionalFormatting sqref="L5:Q14">
    <cfRule type="expression" dxfId="290" priority="254" stopIfTrue="1">
      <formula>"esterreur(reference)"</formula>
    </cfRule>
  </conditionalFormatting>
  <conditionalFormatting sqref="L156:Q162">
    <cfRule type="expression" dxfId="289" priority="72" stopIfTrue="1">
      <formula>"esterreur(reference)"</formula>
    </cfRule>
  </conditionalFormatting>
  <conditionalFormatting sqref="M95:M97">
    <cfRule type="expression" dxfId="288" priority="613" stopIfTrue="1">
      <formula>"esterreur(reference)"</formula>
    </cfRule>
  </conditionalFormatting>
  <conditionalFormatting sqref="O13:O14 O16 O18:O24 O83:Q85">
    <cfRule type="expression" dxfId="287" priority="281" stopIfTrue="1">
      <formula>"esterreur(reference)"</formula>
    </cfRule>
  </conditionalFormatting>
  <conditionalFormatting sqref="O172:O196 Q183 O198:P229 O232:Q232 O233:P233">
    <cfRule type="expression" dxfId="286" priority="169" stopIfTrue="1">
      <formula>"esterreur(reference)"</formula>
    </cfRule>
  </conditionalFormatting>
  <conditionalFormatting sqref="O318:P348 O349:Q349 O352:Q352 O353:P353">
    <cfRule type="expression" dxfId="285" priority="110" stopIfTrue="1">
      <formula>"esterreur(reference)"</formula>
    </cfRule>
  </conditionalFormatting>
  <conditionalFormatting sqref="O25:Q72">
    <cfRule type="expression" dxfId="284" priority="27" stopIfTrue="1">
      <formula>"esterreur(reference)"</formula>
    </cfRule>
  </conditionalFormatting>
  <conditionalFormatting sqref="O97:Q98 O122:Q122 O156:P157 O164:Q164 O165:P165">
    <cfRule type="expression" dxfId="283" priority="245" stopIfTrue="1">
      <formula>"esterreur(reference)"</formula>
    </cfRule>
  </conditionalFormatting>
  <conditionalFormatting sqref="O101:Q111">
    <cfRule type="expression" dxfId="282" priority="239" stopIfTrue="1">
      <formula>"esterreur(reference)"</formula>
    </cfRule>
  </conditionalFormatting>
  <conditionalFormatting sqref="O135:Q153">
    <cfRule type="expression" dxfId="281" priority="73" stopIfTrue="1">
      <formula>"esterreur(reference)"</formula>
    </cfRule>
  </conditionalFormatting>
  <conditionalFormatting sqref="O197:Q197">
    <cfRule type="expression" dxfId="280" priority="171" stopIfTrue="1">
      <formula>"esterreur(reference)"</formula>
    </cfRule>
  </conditionalFormatting>
  <conditionalFormatting sqref="O243:Q243 O252:Q253 O254:P284 O285:Q285 O288:Q288 O289:P289">
    <cfRule type="expression" dxfId="279" priority="138" stopIfTrue="1">
      <formula>"esterreur(reference)"</formula>
    </cfRule>
  </conditionalFormatting>
  <conditionalFormatting sqref="O295:Q317">
    <cfRule type="expression" dxfId="278" priority="95" stopIfTrue="1">
      <formula>"esterreur(reference)"</formula>
    </cfRule>
  </conditionalFormatting>
  <conditionalFormatting sqref="O359:Q394">
    <cfRule type="expression" dxfId="277" priority="84" stopIfTrue="1">
      <formula>"esterreur(reference)"</formula>
    </cfRule>
  </conditionalFormatting>
  <conditionalFormatting sqref="O396:Q399">
    <cfRule type="expression" dxfId="276" priority="91" stopIfTrue="1">
      <formula>"esterreur(reference)"</formula>
    </cfRule>
  </conditionalFormatting>
  <conditionalFormatting sqref="P5">
    <cfRule type="expression" dxfId="275" priority="255" stopIfTrue="1">
      <formula>"esterreur(reference)"</formula>
    </cfRule>
  </conditionalFormatting>
  <conditionalFormatting sqref="P175">
    <cfRule type="expression" dxfId="274" priority="146" stopIfTrue="1">
      <formula>"esterreur(reference)"</formula>
    </cfRule>
  </conditionalFormatting>
  <conditionalFormatting sqref="P183:P184">
    <cfRule type="expression" dxfId="273" priority="148" stopIfTrue="1">
      <formula>"esterreur(reference)"</formula>
    </cfRule>
  </conditionalFormatting>
  <conditionalFormatting sqref="P287">
    <cfRule type="expression" dxfId="272" priority="113" stopIfTrue="1">
      <formula>"esterreur(reference)"</formula>
    </cfRule>
  </conditionalFormatting>
  <conditionalFormatting sqref="P395">
    <cfRule type="expression" dxfId="271" priority="93" stopIfTrue="1">
      <formula>"esterreur(reference)"</formula>
    </cfRule>
  </conditionalFormatting>
  <conditionalFormatting sqref="P93:Q96">
    <cfRule type="expression" dxfId="270" priority="205" stopIfTrue="1">
      <formula>"esterreur(reference)"</formula>
    </cfRule>
  </conditionalFormatting>
  <conditionalFormatting sqref="P99:Q100">
    <cfRule type="expression" dxfId="269" priority="242" stopIfTrue="1">
      <formula>"esterreur(reference)"</formula>
    </cfRule>
  </conditionalFormatting>
  <conditionalFormatting sqref="P172:Q173">
    <cfRule type="expression" dxfId="268" priority="147" stopIfTrue="1">
      <formula>"esterreur(reference)"</formula>
    </cfRule>
  </conditionalFormatting>
  <conditionalFormatting sqref="P176:Q182">
    <cfRule type="expression" dxfId="267" priority="144" stopIfTrue="1">
      <formula>"esterreur(reference)"</formula>
    </cfRule>
  </conditionalFormatting>
  <conditionalFormatting sqref="P185:Q196">
    <cfRule type="expression" dxfId="266" priority="142" stopIfTrue="1">
      <formula>"esterreur(reference)"</formula>
    </cfRule>
  </conditionalFormatting>
  <conditionalFormatting sqref="P241:Q241">
    <cfRule type="expression" dxfId="265" priority="114" stopIfTrue="1">
      <formula>"esterreur(reference)"</formula>
    </cfRule>
  </conditionalFormatting>
  <conditionalFormatting sqref="P244:Q244">
    <cfRule type="expression" dxfId="264" priority="116" stopIfTrue="1">
      <formula>"esterreur(reference)"</formula>
    </cfRule>
  </conditionalFormatting>
  <conditionalFormatting sqref="P247:Q247">
    <cfRule type="expression" dxfId="263" priority="115" stopIfTrue="1">
      <formula>"esterreur(reference)"</formula>
    </cfRule>
  </conditionalFormatting>
  <conditionalFormatting sqref="Q16:Q24">
    <cfRule type="expression" dxfId="262" priority="278" stopIfTrue="1">
      <formula>"esterreur(reference)"</formula>
    </cfRule>
  </conditionalFormatting>
  <conditionalFormatting sqref="Q75:Q82">
    <cfRule type="expression" dxfId="261" priority="259" stopIfTrue="1">
      <formula>"esterreur(reference)"</formula>
    </cfRule>
  </conditionalFormatting>
  <conditionalFormatting sqref="Q174:Q175">
    <cfRule type="expression" dxfId="260" priority="167" stopIfTrue="1">
      <formula>"esterreur(reference)"</formula>
    </cfRule>
  </conditionalFormatting>
  <conditionalFormatting sqref="Q198:Q209">
    <cfRule type="expression" dxfId="259" priority="153" stopIfTrue="1">
      <formula>"esterreur(reference)"</formula>
    </cfRule>
  </conditionalFormatting>
  <conditionalFormatting sqref="Q211:Q228">
    <cfRule type="expression" dxfId="258" priority="141" stopIfTrue="1">
      <formula>"esterreur(reference)"</formula>
    </cfRule>
  </conditionalFormatting>
  <conditionalFormatting sqref="Q254:Q265">
    <cfRule type="expression" dxfId="257" priority="125" stopIfTrue="1">
      <formula>"esterreur(reference)"</formula>
    </cfRule>
  </conditionalFormatting>
  <conditionalFormatting sqref="Q267:Q284">
    <cfRule type="expression" dxfId="256" priority="112" stopIfTrue="1">
      <formula>"esterreur(reference)"</formula>
    </cfRule>
  </conditionalFormatting>
  <conditionalFormatting sqref="Q318:Q329">
    <cfRule type="expression" dxfId="255" priority="98" stopIfTrue="1">
      <formula>"esterreur(reference)"</formula>
    </cfRule>
  </conditionalFormatting>
  <conditionalFormatting sqref="Q331:Q348">
    <cfRule type="expression" dxfId="254" priority="94" stopIfTrue="1">
      <formula>"esterreur(reference)"</formula>
    </cfRule>
  </conditionalFormatting>
  <conditionalFormatting sqref="R312">
    <cfRule type="expression" dxfId="253" priority="621" stopIfTrue="1">
      <formula>"esterreur(reference)"</formula>
    </cfRule>
  </conditionalFormatting>
  <conditionalFormatting sqref="S186">
    <cfRule type="expression" dxfId="252" priority="356" stopIfTrue="1">
      <formula>"esterreur(reference)"</formula>
    </cfRule>
  </conditionalFormatting>
  <conditionalFormatting sqref="Z425:Z427">
    <cfRule type="cellIs" dxfId="251" priority="18" operator="greaterThan">
      <formula>0</formula>
    </cfRule>
  </conditionalFormatting>
  <conditionalFormatting sqref="Z432">
    <cfRule type="cellIs" dxfId="250" priority="15" operator="greaterThan">
      <formula>0</formula>
    </cfRule>
  </conditionalFormatting>
  <conditionalFormatting sqref="Z449:Z451">
    <cfRule type="cellIs" dxfId="249" priority="11" operator="greaterThan">
      <formula>0</formula>
    </cfRule>
  </conditionalFormatting>
  <conditionalFormatting sqref="Z463:Z465">
    <cfRule type="cellIs" dxfId="248" priority="7" operator="greaterThan">
      <formula>0</formula>
    </cfRule>
  </conditionalFormatting>
  <conditionalFormatting sqref="Z478:Z479">
    <cfRule type="cellIs" dxfId="247" priority="4" operator="greaterThan">
      <formula>0</formula>
    </cfRule>
  </conditionalFormatting>
  <conditionalFormatting sqref="Z495:Z497">
    <cfRule type="cellIs" dxfId="246" priority="1" operator="greaterThan">
      <formula>0</formula>
    </cfRule>
  </conditionalFormatting>
  <conditionalFormatting sqref="AC425:AC427">
    <cfRule type="cellIs" dxfId="245" priority="19" operator="greaterThan">
      <formula>0</formula>
    </cfRule>
  </conditionalFormatting>
  <conditionalFormatting sqref="AC432">
    <cfRule type="cellIs" dxfId="244" priority="16" operator="greaterThan">
      <formula>0</formula>
    </cfRule>
  </conditionalFormatting>
  <conditionalFormatting sqref="AC449:AC451">
    <cfRule type="cellIs" dxfId="243" priority="12" operator="greaterThan">
      <formula>0</formula>
    </cfRule>
  </conditionalFormatting>
  <conditionalFormatting sqref="AC463:AC465">
    <cfRule type="cellIs" dxfId="242" priority="8" operator="greaterThan">
      <formula>0</formula>
    </cfRule>
  </conditionalFormatting>
  <conditionalFormatting sqref="AC478:AC479">
    <cfRule type="cellIs" dxfId="241" priority="5" operator="greaterThan">
      <formula>0</formula>
    </cfRule>
  </conditionalFormatting>
  <conditionalFormatting sqref="AC495:AC497">
    <cfRule type="cellIs" dxfId="240" priority="2" operator="greaterThan">
      <formula>0</formula>
    </cfRule>
  </conditionalFormatting>
  <conditionalFormatting sqref="AG409:AI418">
    <cfRule type="cellIs" dxfId="239" priority="21" operator="greaterThan">
      <formula>0</formula>
    </cfRule>
  </conditionalFormatting>
  <conditionalFormatting sqref="AH449:AH452">
    <cfRule type="cellIs" dxfId="238" priority="13" operator="greaterThan">
      <formula>0</formula>
    </cfRule>
  </conditionalFormatting>
  <conditionalFormatting sqref="AH461:AH466">
    <cfRule type="cellIs" dxfId="237" priority="9" operator="greaterThan">
      <formula>0</formula>
    </cfRule>
  </conditionalFormatting>
  <conditionalFormatting sqref="AH420:AI448">
    <cfRule type="cellIs" dxfId="236" priority="17" operator="greaterThan">
      <formula>0</formula>
    </cfRule>
  </conditionalFormatting>
  <conditionalFormatting sqref="AH453:AI460 AH467:AI468">
    <cfRule type="cellIs" dxfId="235" priority="22" operator="greaterThan">
      <formula>0</formula>
    </cfRule>
  </conditionalFormatting>
  <conditionalFormatting sqref="AH469:AI477 AH480:AI480">
    <cfRule type="cellIs" dxfId="234" priority="23" operator="lessThan">
      <formula>0</formula>
    </cfRule>
  </conditionalFormatting>
  <conditionalFormatting sqref="AH478:AI479">
    <cfRule type="cellIs" dxfId="233" priority="6" operator="greaterThan">
      <formula>0</formula>
    </cfRule>
  </conditionalFormatting>
  <conditionalFormatting sqref="AH491:AI497">
    <cfRule type="cellIs" dxfId="232" priority="3" operator="greaterThan">
      <formula>0</formula>
    </cfRule>
  </conditionalFormatting>
  <conditionalFormatting sqref="AI449:AI451">
    <cfRule type="cellIs" dxfId="231" priority="14" operator="greaterThan">
      <formula>0</formula>
    </cfRule>
  </conditionalFormatting>
  <conditionalFormatting sqref="AI463:AI465">
    <cfRule type="cellIs" dxfId="230" priority="10" operator="greaterThan">
      <formula>0</formula>
    </cfRule>
  </conditionalFormatting>
  <conditionalFormatting sqref="AO409:AO418">
    <cfRule type="cellIs" dxfId="229" priority="20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70:Z475 Z496 AF477 AL470:AL47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:BJ702"/>
  <sheetViews>
    <sheetView topLeftCell="M455" zoomScale="70" zoomScaleNormal="70" workbookViewId="0">
      <selection activeCell="AM500" sqref="AM500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Décembre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0"/>
      <c r="D3" s="1279" t="s">
        <v>77</v>
      </c>
      <c r="E3" s="1280"/>
      <c r="F3" s="1281"/>
      <c r="G3" s="1284"/>
      <c r="H3" s="1280"/>
      <c r="I3" s="1281"/>
      <c r="J3" s="1284" t="s">
        <v>78</v>
      </c>
      <c r="K3" s="1280"/>
      <c r="L3" s="1281"/>
      <c r="M3" s="1284" t="s">
        <v>2442</v>
      </c>
      <c r="N3" s="1281"/>
      <c r="O3" s="1279" t="s">
        <v>79</v>
      </c>
      <c r="P3" s="1280"/>
      <c r="Q3" s="1281"/>
      <c r="R3" s="1282" t="s">
        <v>2446</v>
      </c>
      <c r="S3" s="1283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 cm="1">
        <f t="array" ref="F5">+SUMPRODUCT(('Budget original'!$A$8:$A$501=$A5)*('Budget original'!$C$3:$AO$3=F$2),'Budget original'!$C$8:$AO$501)</f>
        <v>25300741.999999996</v>
      </c>
      <c r="G5" s="278"/>
      <c r="H5" s="367"/>
      <c r="I5" s="543"/>
      <c r="J5" s="278"/>
      <c r="K5" s="184"/>
      <c r="L5" s="177">
        <f>-SUMIFS(BV_Data_An_Cour!$P:$P,BV_Data_An_Cour!$X:$X,"Oui",BV_Data_An_Cour!$U:$U,$B5)</f>
        <v>1337137.3800000001</v>
      </c>
      <c r="M5" s="368"/>
      <c r="N5" s="369"/>
      <c r="O5" s="278"/>
      <c r="P5" s="184"/>
      <c r="Q5" s="177" cm="1">
        <f t="array" ref="Q5">+SUMPRODUCT(('Réel 2024'!$A$8:$A$501=$A5)*('Réel 2024'!$C$3:$AO$3=Q$2),'Réel 2024'!$C$8:$AO$501)</f>
        <v>25487207.219999958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 cm="1">
        <f t="array" ref="D6">+SUMPRODUCT(('Budget original'!$A$8:$A$501=$A6)*('Budget original'!$C$3:$AO$3=D$2),'Budget original'!$C$8:$AO$501)</f>
        <v>86</v>
      </c>
      <c r="E6" s="179">
        <f t="shared" ref="E6:E12" si="2">IF(D6=0,0,F6/D6)</f>
        <v>4306.395348837209</v>
      </c>
      <c r="F6" s="179" cm="1">
        <f t="array" ref="F6">+SUMPRODUCT(('Budget original'!$A$8:$A$501=$A6)*('Budget original'!$C$3:$AO$3=F$2),'Budget original'!$C$8:$AO$501)</f>
        <v>370349.99999999994</v>
      </c>
      <c r="G6" s="182"/>
      <c r="H6" s="179"/>
      <c r="I6" s="179"/>
      <c r="J6" s="182">
        <f>-SUMIFS(BV_Data_An_Cour!$P:$P,BV_Data_An_Cour!$U:$U,$B6,BV_Data_An_Cour!$V:$V,$C6,BV_Data_An_Cour!$W:$W,J$2)</f>
        <v>2</v>
      </c>
      <c r="K6" s="179">
        <f>IF(J6=0,0,L6/J6)</f>
        <v>4989.5299999999988</v>
      </c>
      <c r="L6" s="473">
        <f>-SUMIFS(BV_Data_An_Cour!$P:$P,BV_Data_An_Cour!$U:$U,$B6,BV_Data_An_Cour!$V:$V,$C6,BV_Data_An_Cour!$W:$W,L$2)</f>
        <v>9979.0599999999977</v>
      </c>
      <c r="M6" s="182">
        <f t="shared" ref="M6:M12" si="3">J6-D6</f>
        <v>-84</v>
      </c>
      <c r="N6" s="180">
        <f t="shared" ref="N6:N12" si="4">L6-F6</f>
        <v>-360370.93999999994</v>
      </c>
      <c r="O6" s="182" cm="1">
        <f t="array" ref="O6">+SUMPRODUCT(('Réel 2024'!$A$8:$A$501=$A6)*('Réel 2024'!$C$3:$AO$3=O$2),'Réel 2024'!$C$8:$AO$501)</f>
        <v>87</v>
      </c>
      <c r="P6" s="179">
        <f t="shared" ref="P6:P12" si="5">IF(O6=0,0,Q6/O6)</f>
        <v>5158.778045977012</v>
      </c>
      <c r="Q6" s="473" cm="1">
        <f t="array" ref="Q6">+SUMPRODUCT(('Réel 2024'!$A$8:$A$501=$A6)*('Réel 2024'!$C$3:$AO$3=Q$2),'Réel 2024'!$C$8:$AO$501)</f>
        <v>448813.69</v>
      </c>
      <c r="R6" s="182">
        <f>J6-O6</f>
        <v>-85</v>
      </c>
      <c r="S6" s="345">
        <f>L6-Q6</f>
        <v>-438834.63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 cm="1">
        <f t="array" ref="D7">+SUMPRODUCT(('Budget original'!$A$8:$A$501=$A7)*('Budget original'!$C$3:$AO$3=D$2),'Budget original'!$C$8:$AO$501)</f>
        <v>151</v>
      </c>
      <c r="E7" s="179">
        <f t="shared" si="2"/>
        <v>4000.3311258278145</v>
      </c>
      <c r="F7" s="179" cm="1">
        <f t="array" ref="F7">+SUMPRODUCT(('Budget original'!$A$8:$A$501=$A7)*('Budget original'!$C$3:$AO$3=F$2),'Budget original'!$C$8:$AO$501)</f>
        <v>604050</v>
      </c>
      <c r="G7" s="182"/>
      <c r="H7" s="179"/>
      <c r="I7" s="179"/>
      <c r="J7" s="182">
        <f>-SUMIFS(BV_Data_An_Cour!$P:$P,BV_Data_An_Cour!$U:$U,$B7,BV_Data_An_Cour!$V:$V,$C7,BV_Data_An_Cour!$W:$W,J$2)</f>
        <v>6</v>
      </c>
      <c r="K7" s="179">
        <f t="shared" ref="K7:K12" si="6">IF(J7=0,0,L7/J7)</f>
        <v>3057.8933333333334</v>
      </c>
      <c r="L7" s="473">
        <f>-SUMIFS(BV_Data_An_Cour!$P:$P,BV_Data_An_Cour!$U:$U,$B7,BV_Data_An_Cour!$V:$V,$C7,BV_Data_An_Cour!$W:$W,L$2)</f>
        <v>18347.36</v>
      </c>
      <c r="M7" s="182">
        <f t="shared" si="3"/>
        <v>-145</v>
      </c>
      <c r="N7" s="180">
        <f t="shared" si="4"/>
        <v>-585702.64</v>
      </c>
      <c r="O7" s="182" cm="1">
        <f t="array" ref="O7">+SUMPRODUCT(('Réel 2024'!$A$8:$A$501=$A7)*('Réel 2024'!$C$3:$AO$3=O$2),'Réel 2024'!$C$8:$AO$501)</f>
        <v>142</v>
      </c>
      <c r="P7" s="179">
        <f t="shared" si="5"/>
        <v>4574.8696478873198</v>
      </c>
      <c r="Q7" s="473" cm="1">
        <f t="array" ref="Q7">+SUMPRODUCT(('Réel 2024'!$A$8:$A$501=$A7)*('Réel 2024'!$C$3:$AO$3=Q$2),'Réel 2024'!$C$8:$AO$501)</f>
        <v>649631.48999999941</v>
      </c>
      <c r="R7" s="182">
        <f t="shared" ref="R7:R12" si="7">J7-O7</f>
        <v>-136</v>
      </c>
      <c r="S7" s="345">
        <f t="shared" ref="S7:S12" si="8">L7-Q7</f>
        <v>-631284.12999999942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 cm="1">
        <f t="array" ref="D8">+SUMPRODUCT(('Budget original'!$A$8:$A$501=$A8)*('Budget original'!$C$3:$AO$3=D$2),'Budget original'!$C$8:$AO$501)</f>
        <v>0</v>
      </c>
      <c r="E8" s="179">
        <f t="shared" si="2"/>
        <v>0</v>
      </c>
      <c r="F8" s="179" cm="1">
        <f t="array" ref="F8">+SUMPRODUCT(('Budget original'!$A$8:$A$501=$A8)*('Budget original'!$C$3:$AO$3=F$2),'Budget original'!$C$8:$AO$501)</f>
        <v>0</v>
      </c>
      <c r="G8" s="182"/>
      <c r="H8" s="179"/>
      <c r="I8" s="179"/>
      <c r="J8" s="182">
        <f>-SUMIFS(BV_Data_An_Cour!$P:$P,BV_Data_An_Cour!$U:$U,$B8,BV_Data_An_Cour!$V:$V,$C8,BV_Data_An_Cour!$W:$W,J$2)</f>
        <v>0</v>
      </c>
      <c r="K8" s="179">
        <f t="shared" si="6"/>
        <v>0</v>
      </c>
      <c r="L8" s="473">
        <f>-SUMIFS(BV_Data_An_Cour!$P:$P,BV_Data_An_Cour!$U:$U,$B8,BV_Data_An_Cour!$V:$V,$C8,BV_Data_An_Cour!$W:$W,L$2)</f>
        <v>0</v>
      </c>
      <c r="M8" s="182">
        <f t="shared" si="3"/>
        <v>0</v>
      </c>
      <c r="N8" s="180">
        <f t="shared" si="4"/>
        <v>0</v>
      </c>
      <c r="O8" s="182" cm="1">
        <f t="array" ref="O8">+SUMPRODUCT(('Réel 2024'!$A$8:$A$501=$A8)*('Réel 2024'!$C$3:$AO$3=O$2),'Réel 2024'!$C$8:$AO$501)</f>
        <v>0</v>
      </c>
      <c r="P8" s="179">
        <f t="shared" si="5"/>
        <v>0</v>
      </c>
      <c r="Q8" s="473" cm="1">
        <f t="array" ref="Q8">+SUMPRODUCT(('Réel 2024'!$A$8:$A$501=$A8)*('Réel 2024'!$C$3:$AO$3=Q$2),'Réel 2024'!$C$8:$AO$501)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 cm="1">
        <f t="array" ref="D9">+SUMPRODUCT(('Budget original'!$A$8:$A$501=$A9)*('Budget original'!$C$3:$AO$3=D$2),'Budget original'!$C$8:$AO$501)</f>
        <v>0</v>
      </c>
      <c r="E9" s="179">
        <f t="shared" si="2"/>
        <v>0</v>
      </c>
      <c r="F9" s="179" cm="1">
        <f t="array" ref="F9">+SUMPRODUCT(('Budget original'!$A$8:$A$501=$A9)*('Budget original'!$C$3:$AO$3=F$2),'Budget original'!$C$8:$AO$501)</f>
        <v>0</v>
      </c>
      <c r="G9" s="182"/>
      <c r="H9" s="179"/>
      <c r="I9" s="179"/>
      <c r="J9" s="182">
        <f>-SUMIFS(BV_Data_An_Cour!$P:$P,BV_Data_An_Cour!$U:$U,$B9,BV_Data_An_Cour!$V:$V,$C9,BV_Data_An_Cour!$W:$W,J$2)</f>
        <v>0</v>
      </c>
      <c r="K9" s="179">
        <f t="shared" si="6"/>
        <v>0</v>
      </c>
      <c r="L9" s="473">
        <f>-SUMIFS(BV_Data_An_Cour!$P:$P,BV_Data_An_Cour!$U:$U,$B9,BV_Data_An_Cour!$V:$V,$C9,BV_Data_An_Cour!$W:$W,L$2)</f>
        <v>0</v>
      </c>
      <c r="M9" s="182">
        <f t="shared" si="3"/>
        <v>0</v>
      </c>
      <c r="N9" s="180">
        <f t="shared" si="4"/>
        <v>0</v>
      </c>
      <c r="O9" s="182" cm="1">
        <f t="array" ref="O9">+SUMPRODUCT(('Réel 2024'!$A$8:$A$501=$A9)*('Réel 2024'!$C$3:$AO$3=O$2),'Réel 2024'!$C$8:$AO$501)</f>
        <v>0</v>
      </c>
      <c r="P9" s="179">
        <f t="shared" si="5"/>
        <v>0</v>
      </c>
      <c r="Q9" s="473" cm="1">
        <f t="array" ref="Q9">+SUMPRODUCT(('Réel 2024'!$A$8:$A$501=$A9)*('Réel 2024'!$C$3:$AO$3=Q$2),'Réel 2024'!$C$8:$AO$501)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 cm="1">
        <f t="array" ref="D10">+SUMPRODUCT(('Budget original'!$A$8:$A$501=$A10)*('Budget original'!$C$3:$AO$3=D$2),'Budget original'!$C$8:$AO$501)</f>
        <v>0</v>
      </c>
      <c r="E10" s="179">
        <f t="shared" si="2"/>
        <v>0</v>
      </c>
      <c r="F10" s="179" cm="1">
        <f t="array" ref="F10">+SUMPRODUCT(('Budget original'!$A$8:$A$501=$A10)*('Budget original'!$C$3:$AO$3=F$2),'Budget original'!$C$8:$AO$501)</f>
        <v>0</v>
      </c>
      <c r="G10" s="182"/>
      <c r="H10" s="179"/>
      <c r="I10" s="179"/>
      <c r="J10" s="182">
        <f>-SUMIFS(BV_Data_An_Cour!$P:$P,BV_Data_An_Cour!$U:$U,$B10,BV_Data_An_Cour!$V:$V,$C10,BV_Data_An_Cour!$W:$W,J$2)</f>
        <v>0</v>
      </c>
      <c r="K10" s="179">
        <f t="shared" si="6"/>
        <v>0</v>
      </c>
      <c r="L10" s="473">
        <f>-SUMIFS(BV_Data_An_Cour!$P:$P,BV_Data_An_Cour!$U:$U,$B10,BV_Data_An_Cour!$V:$V,$C10,BV_Data_An_Cour!$W:$W,L$2)</f>
        <v>0</v>
      </c>
      <c r="M10" s="182">
        <f t="shared" si="3"/>
        <v>0</v>
      </c>
      <c r="N10" s="180">
        <f t="shared" si="4"/>
        <v>0</v>
      </c>
      <c r="O10" s="182" cm="1">
        <f t="array" ref="O10">+SUMPRODUCT(('Réel 2024'!$A$8:$A$501=$A10)*('Réel 2024'!$C$3:$AO$3=O$2),'Réel 2024'!$C$8:$AO$501)</f>
        <v>0</v>
      </c>
      <c r="P10" s="179">
        <f t="shared" si="5"/>
        <v>0</v>
      </c>
      <c r="Q10" s="473" cm="1">
        <f t="array" ref="Q10">+SUMPRODUCT(('Réel 2024'!$A$8:$A$501=$A10)*('Réel 2024'!$C$3:$AO$3=Q$2),'Réel 2024'!$C$8:$AO$501)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 cm="1">
        <f t="array" ref="D11">+SUMPRODUCT(('Budget original'!$A$8:$A$501=$A11)*('Budget original'!$C$3:$AO$3=D$2),'Budget original'!$C$8:$AO$501)</f>
        <v>0</v>
      </c>
      <c r="E11" s="179">
        <f t="shared" si="2"/>
        <v>0</v>
      </c>
      <c r="F11" s="179" cm="1">
        <f t="array" ref="F11">+SUMPRODUCT(('Budget original'!$A$8:$A$501=$A11)*('Budget original'!$C$3:$AO$3=F$2),'Budget original'!$C$8:$AO$501)</f>
        <v>0</v>
      </c>
      <c r="G11" s="182"/>
      <c r="H11" s="179"/>
      <c r="I11" s="179"/>
      <c r="J11" s="182">
        <f>-SUMIFS(BV_Data_An_Cour!$P:$P,BV_Data_An_Cour!$U:$U,$B11,BV_Data_An_Cour!$V:$V,$C11,BV_Data_An_Cour!$W:$W,J$2)</f>
        <v>0</v>
      </c>
      <c r="K11" s="179">
        <f t="shared" si="6"/>
        <v>0</v>
      </c>
      <c r="L11" s="473">
        <f>-SUMIFS(BV_Data_An_Cour!$P:$P,BV_Data_An_Cour!$U:$U,$B11,BV_Data_An_Cour!$V:$V,$C11,BV_Data_An_Cour!$W:$W,L$2)</f>
        <v>0</v>
      </c>
      <c r="M11" s="182">
        <f t="shared" si="3"/>
        <v>0</v>
      </c>
      <c r="N11" s="180">
        <f t="shared" si="4"/>
        <v>0</v>
      </c>
      <c r="O11" s="182" cm="1">
        <f t="array" ref="O11">+SUMPRODUCT(('Réel 2024'!$A$8:$A$501=$A11)*('Réel 2024'!$C$3:$AO$3=O$2),'Réel 2024'!$C$8:$AO$501)</f>
        <v>0</v>
      </c>
      <c r="P11" s="179">
        <f t="shared" si="5"/>
        <v>0</v>
      </c>
      <c r="Q11" s="473" cm="1">
        <f t="array" ref="Q11">+SUMPRODUCT(('Réel 2024'!$A$8:$A$501=$A11)*('Réel 2024'!$C$3:$AO$3=Q$2),'Réel 2024'!$C$8:$AO$501)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 cm="1">
        <f t="array" ref="D12">+SUMPRODUCT(('Budget original'!$A$8:$A$501=$A12)*('Budget original'!$C$3:$AO$3=D$2),'Budget original'!$C$8:$AO$501)</f>
        <v>0</v>
      </c>
      <c r="E12" s="179">
        <f t="shared" si="2"/>
        <v>0</v>
      </c>
      <c r="F12" s="179" cm="1">
        <f t="array" ref="F12">+SUMPRODUCT(('Budget original'!$A$8:$A$501=$A12)*('Budget original'!$C$3:$AO$3=F$2),'Budget original'!$C$8:$AO$501)</f>
        <v>0</v>
      </c>
      <c r="G12" s="182"/>
      <c r="H12" s="179"/>
      <c r="I12" s="179"/>
      <c r="J12" s="182">
        <f>-SUMIFS(BV_Data_An_Cour!$P:$P,BV_Data_An_Cour!$U:$U,$B12,BV_Data_An_Cour!$V:$V,$C12,BV_Data_An_Cour!$W:$W,J$2)</f>
        <v>0</v>
      </c>
      <c r="K12" s="179">
        <f t="shared" si="6"/>
        <v>0</v>
      </c>
      <c r="L12" s="473">
        <f>-SUMIFS(BV_Data_An_Cour!$P:$P,BV_Data_An_Cour!$U:$U,$B12,BV_Data_An_Cour!$V:$V,$C12,BV_Data_An_Cour!$W:$W,L$2)</f>
        <v>0</v>
      </c>
      <c r="M12" s="182">
        <f t="shared" si="3"/>
        <v>0</v>
      </c>
      <c r="N12" s="180">
        <f t="shared" si="4"/>
        <v>0</v>
      </c>
      <c r="O12" s="182" cm="1">
        <f t="array" ref="O12">+SUMPRODUCT(('Réel 2024'!$A$8:$A$501=$A12)*('Réel 2024'!$C$3:$AO$3=O$2),'Réel 2024'!$C$8:$AO$501)</f>
        <v>0</v>
      </c>
      <c r="P12" s="179">
        <f t="shared" si="5"/>
        <v>0</v>
      </c>
      <c r="Q12" s="473" cm="1">
        <f t="array" ref="Q12">+SUMPRODUCT(('Réel 2024'!$A$8:$A$501=$A12)*('Réel 2024'!$C$3:$AO$3=Q$2),'Réel 2024'!$C$8:$AO$501)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237</v>
      </c>
      <c r="E13" s="346">
        <f>IF(D13&lt;=0,0,F13/D13)</f>
        <v>4111.3924050632913</v>
      </c>
      <c r="F13" s="347">
        <f t="shared" ref="F13" si="9">+SUM(F6:F12)</f>
        <v>974400</v>
      </c>
      <c r="G13" s="348"/>
      <c r="H13" s="346"/>
      <c r="I13" s="347"/>
      <c r="J13" s="348">
        <f>+SUM(J6:J12)</f>
        <v>8</v>
      </c>
      <c r="K13" s="346">
        <f>IF(J13&lt;=0,0,L13/J13)</f>
        <v>3540.8024999999998</v>
      </c>
      <c r="L13" s="347">
        <f>+SUM(L6:L12)</f>
        <v>28326.42</v>
      </c>
      <c r="M13" s="348">
        <f>+SUM(M6:M12)</f>
        <v>-229</v>
      </c>
      <c r="N13" s="347">
        <f t="shared" ref="N13" si="10">+SUM(N6:N12)</f>
        <v>-946073.58</v>
      </c>
      <c r="O13" s="348">
        <f>+SUM(O6:O12)</f>
        <v>229</v>
      </c>
      <c r="P13" s="346">
        <f>IF(O13&lt;=0,0,Q13/O13)</f>
        <v>4796.7038427947573</v>
      </c>
      <c r="Q13" s="347">
        <f t="shared" ref="Q13" si="11">+SUM(Q6:Q12)</f>
        <v>1098445.1799999995</v>
      </c>
      <c r="R13" s="348">
        <f>+SUM(R6:R12)</f>
        <v>-221</v>
      </c>
      <c r="S13" s="349">
        <f>+SUM(S6:S12)</f>
        <v>-1070118.7599999993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-0.96624472573839659</v>
      </c>
      <c r="N14" s="234">
        <f>IF(F13=0,0,N13/F13)</f>
        <v>-0.97092937192118223</v>
      </c>
      <c r="O14" s="223"/>
      <c r="P14" s="179"/>
      <c r="Q14" s="265"/>
      <c r="R14" s="235">
        <f>R13/O13</f>
        <v>-0.96506550218340614</v>
      </c>
      <c r="S14" s="262">
        <f>IF(Q13=0,0,(S13/Q13))</f>
        <v>-0.97421225882205598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 cm="1">
        <f t="array" ref="D15">+SUMPRODUCT(('Budget original'!$A$8:$A$501=$A15)*('Budget original'!$C$3:$AO$3=D$2),'Budget original'!$C$8:$AO$501)</f>
        <v>35</v>
      </c>
      <c r="E15" s="184">
        <f>IF(D15=0,0,F15/D15)</f>
        <v>750</v>
      </c>
      <c r="F15" s="177" cm="1">
        <f t="array" ref="F15">+SUMPRODUCT(('Budget original'!$A$8:$A$501=$A15)*('Budget original'!$C$3:$AO$3=F$2),'Budget original'!$C$8:$AO$501)</f>
        <v>26250</v>
      </c>
      <c r="G15" s="183"/>
      <c r="H15" s="352"/>
      <c r="I15" s="350"/>
      <c r="J15" s="466">
        <f>-SUMIFS(BV_Data_An_Cour!$P:$P,BV_Data_An_Cour!$U:$U,$B15,BV_Data_An_Cour!$V:$V,$C15,BV_Data_An_Cour!$W:$W,J$2)</f>
        <v>0</v>
      </c>
      <c r="K15" s="467">
        <f>IF(J15=0,0,L15/J15)</f>
        <v>0</v>
      </c>
      <c r="L15" s="467">
        <f>-SUMIFS(BV_Data_An_Cour!$P:$P,BV_Data_An_Cour!$U:$U,$B15,BV_Data_An_Cour!$V:$V,$C15,BV_Data_An_Cour!$W:$W,L$2)</f>
        <v>0</v>
      </c>
      <c r="M15" s="351">
        <f>J15-D15</f>
        <v>-35</v>
      </c>
      <c r="N15" s="350">
        <f>L15-F15</f>
        <v>-26250</v>
      </c>
      <c r="O15" s="466" cm="1">
        <f t="array" ref="O15">+SUMPRODUCT(('Réel 2024'!$A$8:$A$501=$A15)*('Réel 2024'!$C$3:$AO$3=O$2),'Réel 2024'!$C$8:$AO$501)</f>
        <v>36</v>
      </c>
      <c r="P15" s="467">
        <f>IF(O15=0,0,Q15/O15)</f>
        <v>1369.8802777777792</v>
      </c>
      <c r="Q15" s="467" cm="1">
        <f t="array" ref="Q15">+SUMPRODUCT(('Réel 2024'!$A$8:$A$501=$A15)*('Réel 2024'!$C$3:$AO$3=Q$2),'Réel 2024'!$C$8:$AO$501)</f>
        <v>49315.690000000053</v>
      </c>
      <c r="R15" s="351">
        <f>J15-O15</f>
        <v>-36</v>
      </c>
      <c r="S15" s="372">
        <f>L15-Q15</f>
        <v>-49315.690000000053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 cm="1">
        <f t="array" ref="D17">+SUMPRODUCT(('Budget original'!$A$8:$A$501=$A17)*('Budget original'!$C$3:$AO$3=D$2),'Budget original'!$C$8:$AO$501)</f>
        <v>3</v>
      </c>
      <c r="E17" s="179">
        <f>IF(D17=0,0,F17/D17)</f>
        <v>0</v>
      </c>
      <c r="F17" s="179" cm="1">
        <f t="array" ref="F17">+SUMPRODUCT(('Budget original'!$A$8:$A$501=$A17)*('Budget original'!$C$3:$AO$3=F$2),'Budget original'!$C$8:$AO$501)</f>
        <v>0</v>
      </c>
      <c r="G17" s="182"/>
      <c r="H17" s="179"/>
      <c r="I17" s="179"/>
      <c r="J17" s="351">
        <f>-SUMIFS(BV_Data_An_Cour!$P:$P,BV_Data_An_Cour!$U:$U,$B17,BV_Data_An_Cour!$V:$V,$C17,BV_Data_An_Cour!$W:$W,J$2)</f>
        <v>4</v>
      </c>
      <c r="K17" s="179">
        <f>IF(J17=0,0,L17/J17)</f>
        <v>1875.1650000000045</v>
      </c>
      <c r="L17" s="180">
        <f>-SUMIFS(BV_Data_An_Cour!$P:$P,BV_Data_An_Cour!$U:$U,$B17,BV_Data_An_Cour!$V:$V,$C17,BV_Data_An_Cour!$W:$W,L$2)</f>
        <v>7500.660000000018</v>
      </c>
      <c r="M17" s="351">
        <f>J17-D17</f>
        <v>1</v>
      </c>
      <c r="N17" s="180">
        <f>L17-F17</f>
        <v>7500.660000000018</v>
      </c>
      <c r="O17" s="351" cm="1">
        <f t="array" ref="O17">+SUMPRODUCT(('Réel 2024'!$A$8:$A$501=$A17)*('Réel 2024'!$C$3:$AO$3=O$2),'Réel 2024'!$C$8:$AO$501)</f>
        <v>5</v>
      </c>
      <c r="P17" s="179">
        <f>IF(O17=0,0,Q17/O17)</f>
        <v>2686.7860000000019</v>
      </c>
      <c r="Q17" s="180" cm="1">
        <f t="array" ref="Q17">+SUMPRODUCT(('Réel 2024'!$A$8:$A$501=$A17)*('Réel 2024'!$C$3:$AO$3=Q$2),'Réel 2024'!$C$8:$AO$501)</f>
        <v>13433.930000000009</v>
      </c>
      <c r="R17" s="182">
        <f>J17-O17</f>
        <v>-1</v>
      </c>
      <c r="S17" s="345">
        <f>L17-Q17</f>
        <v>-5933.2699999999913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 cm="1">
        <f t="array" ref="D19">+SUMPRODUCT(('Budget original'!$A$8:$A$501=$A19)*('Budget original'!$C$3:$AO$3=D$2),'Budget original'!$C$8:$AO$501)</f>
        <v>0</v>
      </c>
      <c r="E19" s="179">
        <f>IF(D19=0,0,F19/D19)</f>
        <v>0</v>
      </c>
      <c r="F19" s="179" cm="1">
        <f t="array" ref="F19">+SUMPRODUCT(('Budget original'!$A$8:$A$501=$A19)*('Budget original'!$C$3:$AO$3=F$2),'Budget original'!$C$8:$AO$501)</f>
        <v>29970.000000000004</v>
      </c>
      <c r="G19" s="182"/>
      <c r="H19" s="179"/>
      <c r="I19" s="179"/>
      <c r="J19" s="183"/>
      <c r="K19" s="179"/>
      <c r="L19" s="180">
        <f>-SUMIFS(BV_Data_An_Cour!$P:$P,BV_Data_An_Cour!$U:$U,$B19,BV_Data_An_Cour!$V:$V,$C19,BV_Data_An_Cour!$W:$W,L$2)</f>
        <v>999</v>
      </c>
      <c r="M19" s="182"/>
      <c r="N19" s="180">
        <f>L19-F19</f>
        <v>-28971.000000000004</v>
      </c>
      <c r="O19" s="183" cm="1">
        <f t="array" ref="O19">+SUMPRODUCT(('Réel 2024'!$A$8:$A$501=$A19)*('Réel 2024'!$C$3:$AO$3=O$2),'Réel 2024'!$C$8:$AO$501)</f>
        <v>0</v>
      </c>
      <c r="P19" s="179">
        <f>IF(O19=0,0,Q19/O19)</f>
        <v>0</v>
      </c>
      <c r="Q19" s="180" cm="1">
        <f t="array" ref="Q19">+SUMPRODUCT(('Réel 2024'!$A$8:$A$501=$A19)*('Réel 2024'!$C$3:$AO$3=Q$2),'Réel 2024'!$C$8:$AO$501)</f>
        <v>45746.459999999934</v>
      </c>
      <c r="R19" s="182">
        <f>O19-K19</f>
        <v>0</v>
      </c>
      <c r="S19" s="345">
        <f>L19-Q19</f>
        <v>-44747.459999999934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/>
      <c r="E21" s="179"/>
      <c r="F21" s="179" cm="1">
        <f t="array" ref="F21">+SUMPRODUCT(('Budget original'!$A$8:$A$501=$A21)*('Budget original'!$C$3:$AO$3=F$2),'Budget original'!$C$8:$AO$501)</f>
        <v>6800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-SUMIFS(BV_Data_An_Cour!$P:$P,BV_Data_An_Cour!$U:$U,$B21,BV_Data_An_Cour!$V:$V,$C21,BV_Data_An_Cour!$W:$W,L$2)</f>
        <v>0</v>
      </c>
      <c r="M21" s="182"/>
      <c r="N21" s="180">
        <f>L21-F21</f>
        <v>-6800</v>
      </c>
      <c r="O21" s="182"/>
      <c r="P21" s="179"/>
      <c r="Q21" s="180" cm="1">
        <f t="array" ref="Q21">+SUMPRODUCT(('Réel 2024'!$A$8:$A$501=$A21)*('Réel 2024'!$C$3:$AO$3=Q$2),'Réel 2024'!$C$8:$AO$501)</f>
        <v>3010.99</v>
      </c>
      <c r="R21" s="182">
        <f>O21-K21</f>
        <v>0</v>
      </c>
      <c r="S21" s="345">
        <f>L21-Q21</f>
        <v>-3010.99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/>
      <c r="E22" s="179"/>
      <c r="F22" s="179" cm="1">
        <f t="array" ref="F22">+SUMPRODUCT(('Budget original'!$A$8:$A$501=$A22)*('Budget original'!$C$3:$AO$3=F$2),'Budget original'!$C$8:$AO$501)</f>
        <v>312800</v>
      </c>
      <c r="G22" s="223"/>
      <c r="H22" s="179"/>
      <c r="I22" s="179"/>
      <c r="J22" s="182"/>
      <c r="K22" s="179">
        <f>IF(J13=0,0,L22/(J13+J15))</f>
        <v>912.25</v>
      </c>
      <c r="L22" s="180">
        <f>-SUMIFS(BV_Data_An_Cour!$P:$P,BV_Data_An_Cour!$U:$U,$B22,BV_Data_An_Cour!$V:$V,$C22,BV_Data_An_Cour!$W:$W,L$2)</f>
        <v>7298</v>
      </c>
      <c r="M22" s="182"/>
      <c r="N22" s="180">
        <f>L22-F22</f>
        <v>-305502</v>
      </c>
      <c r="O22" s="182"/>
      <c r="P22" s="179"/>
      <c r="Q22" s="180" cm="1">
        <f t="array" ref="Q22">+SUMPRODUCT(('Réel 2024'!$A$8:$A$501=$A22)*('Réel 2024'!$C$3:$AO$3=Q$2),'Réel 2024'!$C$8:$AO$501)</f>
        <v>307777.84999999969</v>
      </c>
      <c r="R22" s="182">
        <f>O22-K22</f>
        <v>-912.25</v>
      </c>
      <c r="S22" s="345">
        <f>L22-Q22</f>
        <v>-300479.84999999969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/>
      <c r="E23" s="179"/>
      <c r="F23" s="179" cm="1">
        <f t="array" ref="F23">+SUMPRODUCT(('Budget original'!$A$8:$A$501=$A23)*('Budget original'!$C$3:$AO$3=F$2),'Budget original'!$C$8:$AO$501)</f>
        <v>130560</v>
      </c>
      <c r="G23" s="223"/>
      <c r="H23" s="179"/>
      <c r="I23" s="179"/>
      <c r="J23" s="182"/>
      <c r="K23" s="179">
        <f>IF(J13=0,0,L23/(J13+J15))</f>
        <v>891.08125000000018</v>
      </c>
      <c r="L23" s="180">
        <f>-SUMIFS(BV_Data_An_Cour!$P:$P,BV_Data_An_Cour!$U:$U,$B23,BV_Data_An_Cour!$V:$V,$C23,BV_Data_An_Cour!$W:$W,L$2)</f>
        <v>7128.6500000000015</v>
      </c>
      <c r="M23" s="351"/>
      <c r="N23" s="180">
        <f>L23-F23</f>
        <v>-123431.35</v>
      </c>
      <c r="O23" s="182"/>
      <c r="P23" s="179"/>
      <c r="Q23" s="180" cm="1">
        <f t="array" ref="Q23">+SUMPRODUCT(('Réel 2024'!$A$8:$A$501=$A23)*('Réel 2024'!$C$3:$AO$3=Q$2),'Réel 2024'!$C$8:$AO$501)</f>
        <v>124636.6999999999</v>
      </c>
      <c r="R23" s="182">
        <f>O23-K23</f>
        <v>-891.08125000000018</v>
      </c>
      <c r="S23" s="345">
        <f>L23-Q23</f>
        <v>-117508.0499999999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272</v>
      </c>
      <c r="E24" s="346">
        <f>IF(D24&lt;=0,0,F24/D24)</f>
        <v>1655</v>
      </c>
      <c r="F24" s="347">
        <f>F21+F22+F23</f>
        <v>450160</v>
      </c>
      <c r="G24" s="348"/>
      <c r="H24" s="346"/>
      <c r="I24" s="347"/>
      <c r="J24" s="348">
        <f>+J15+J13</f>
        <v>8</v>
      </c>
      <c r="K24" s="346">
        <f>IF(J24&lt;=0,0,L24/J24)</f>
        <v>1803.3312500000002</v>
      </c>
      <c r="L24" s="347">
        <f>L21+L22+L23</f>
        <v>14426.650000000001</v>
      </c>
      <c r="M24" s="376">
        <f>J24-D24</f>
        <v>-264</v>
      </c>
      <c r="N24" s="347">
        <f>L24-F24</f>
        <v>-435733.35</v>
      </c>
      <c r="O24" s="348">
        <f>+O15+O13</f>
        <v>265</v>
      </c>
      <c r="P24" s="346">
        <f>IF(O24&lt;=0,0,Q24/O24)</f>
        <v>1643.1152452830172</v>
      </c>
      <c r="Q24" s="347">
        <f>Q21+Q22+Q23</f>
        <v>435425.53999999957</v>
      </c>
      <c r="R24" s="356"/>
      <c r="S24" s="349">
        <f>L24-Q24</f>
        <v>-420998.88999999955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-0.96795217256086719</v>
      </c>
      <c r="O25" s="223"/>
      <c r="P25" s="178"/>
      <c r="Q25" s="225"/>
      <c r="R25" s="224"/>
      <c r="S25" s="262">
        <f>IF(Q24=0,0,(S24/Q24))</f>
        <v>-0.96686769912486059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275</v>
      </c>
      <c r="E27" s="27">
        <f>IF(D27&lt;=0,0,F27/D27)</f>
        <v>5384.6545454545458</v>
      </c>
      <c r="F27" s="28">
        <f>F13+F17+F24+F19+F15</f>
        <v>1480780</v>
      </c>
      <c r="G27" s="29"/>
      <c r="H27" s="30"/>
      <c r="I27" s="28"/>
      <c r="J27" s="29">
        <f>+J13+J15+J17</f>
        <v>12</v>
      </c>
      <c r="K27" s="30">
        <f>IF(J27&lt;=0,0,L27/J27)</f>
        <v>4271.0608333333348</v>
      </c>
      <c r="L27" s="28">
        <f>L13+L17+L24+L19+L15</f>
        <v>51252.730000000018</v>
      </c>
      <c r="M27" s="29">
        <f>J27-D27</f>
        <v>-263</v>
      </c>
      <c r="N27" s="28">
        <f>L27-F27</f>
        <v>-1429527.27</v>
      </c>
      <c r="O27" s="29">
        <f>+O13+O15+O17</f>
        <v>270</v>
      </c>
      <c r="P27" s="30">
        <f>IF(O27&lt;=0,0,Q27/O27)</f>
        <v>6082.8399999999956</v>
      </c>
      <c r="Q27" s="28">
        <f>Q13+Q17+Q24+Q19+Q15</f>
        <v>1642366.7999999989</v>
      </c>
      <c r="R27" s="29">
        <f>J27-O27</f>
        <v>-258</v>
      </c>
      <c r="S27" s="321">
        <f>L27-Q27</f>
        <v>-1591114.0699999989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-0.95636363636363642</v>
      </c>
      <c r="N28" s="34">
        <f>N27/F27</f>
        <v>-0.96538801847674871</v>
      </c>
      <c r="O28" s="31"/>
      <c r="P28" s="323"/>
      <c r="Q28" s="32"/>
      <c r="R28" s="33">
        <f>R27/O27</f>
        <v>-0.9555555555555556</v>
      </c>
      <c r="S28" s="259">
        <f>IF(Q27=0,0,S27/Q27)</f>
        <v>-0.96879337185822312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/>
      <c r="E31" s="195">
        <f t="shared" ref="E31:E40" si="12">F31/D$24</f>
        <v>1071.5257352941176</v>
      </c>
      <c r="F31" s="179" cm="1">
        <f t="array" ref="F31">+SUMPRODUCT(('Budget original'!$A$8:$A$501=$A31)*('Budget original'!$C$3:$AO$3=F$2),'Budget original'!$C$8:$AO$501)</f>
        <v>291455</v>
      </c>
      <c r="G31" s="293"/>
      <c r="H31" s="195"/>
      <c r="I31" s="179"/>
      <c r="J31" s="293">
        <f>L31/(L13+L15)</f>
        <v>0.32221826831629274</v>
      </c>
      <c r="K31" s="195">
        <f t="shared" ref="K31:K36" si="13">IF(L31=0,0,L31/J$24)</f>
        <v>1140.9112500000001</v>
      </c>
      <c r="L31" s="179">
        <f>SUMIFS(BV_Data_An_Cour!$P:$P,BV_Data_An_Cour!$U:$U,$B31,BV_Data_An_Cour!$V:$V,$C31,BV_Data_An_Cour!$W:$W,L$2)</f>
        <v>9127.2900000000009</v>
      </c>
      <c r="M31" s="223"/>
      <c r="N31" s="225">
        <f t="shared" ref="N31:N53" si="14">L31-F31</f>
        <v>-282327.71000000002</v>
      </c>
      <c r="O31" s="293"/>
      <c r="P31" s="195">
        <f t="shared" ref="P31:P40" si="15">Q31/O$24</f>
        <v>1284.8014339622641</v>
      </c>
      <c r="Q31" s="180" cm="1">
        <f t="array" ref="Q31">+SUMPRODUCT(('Réel 2024'!$A$8:$A$501=$A31)*('Réel 2024'!$C$3:$AO$3=Q$2),'Réel 2024'!$C$8:$AO$501)</f>
        <v>340472.38</v>
      </c>
      <c r="R31" s="223"/>
      <c r="S31" s="197">
        <f t="shared" ref="S31:S41" si="16">L31-Q31</f>
        <v>-331345.09000000003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/>
      <c r="E32" s="358">
        <f t="shared" si="12"/>
        <v>455.125</v>
      </c>
      <c r="F32" s="177" cm="1">
        <f t="array" ref="F32">+SUMPRODUCT(('Budget original'!$A$8:$A$501=$A32)*('Budget original'!$C$3:$AO$3=F$2),'Budget original'!$C$8:$AO$501)</f>
        <v>123794</v>
      </c>
      <c r="G32" s="320"/>
      <c r="H32" s="188"/>
      <c r="I32" s="177"/>
      <c r="J32" s="320">
        <f>L32/L24</f>
        <v>0.32295924556289918</v>
      </c>
      <c r="K32" s="358">
        <f t="shared" si="13"/>
        <v>582.40250000000003</v>
      </c>
      <c r="L32" s="177">
        <f>SUMIFS(BV_Data_An_Cour!$P:$P,BV_Data_An_Cour!$U:$U,$B32,BV_Data_An_Cour!$V:$V,$C32,BV_Data_An_Cour!$W:$W,L$2)</f>
        <v>4659.22</v>
      </c>
      <c r="M32" s="278"/>
      <c r="N32" s="279">
        <f t="shared" si="14"/>
        <v>-119134.78</v>
      </c>
      <c r="O32" s="320"/>
      <c r="P32" s="358">
        <f t="shared" si="15"/>
        <v>619.32366037735846</v>
      </c>
      <c r="Q32" s="177" cm="1">
        <f t="array" ref="Q32">+SUMPRODUCT(('Réel 2024'!$A$8:$A$501=$A32)*('Réel 2024'!$C$3:$AO$3=Q$2),'Réel 2024'!$C$8:$AO$501)</f>
        <v>164120.76999999999</v>
      </c>
      <c r="R32" s="278"/>
      <c r="S32" s="200">
        <f t="shared" si="16"/>
        <v>-159461.54999999999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12"/>
        <v>130</v>
      </c>
      <c r="F33" s="179" cm="1">
        <f t="array" ref="F33">+SUMPRODUCT(('Budget original'!$A$8:$A$501=$A33)*('Budget original'!$C$3:$AO$3=F$2),'Budget original'!$C$8:$AO$501)</f>
        <v>35360</v>
      </c>
      <c r="G33" s="269"/>
      <c r="H33" s="195"/>
      <c r="I33" s="179"/>
      <c r="J33" s="223"/>
      <c r="K33" s="195">
        <f t="shared" si="13"/>
        <v>0.46250000000000002</v>
      </c>
      <c r="L33" s="179">
        <f>SUMIFS(BV_Data_An_Cour!$P:$P,BV_Data_An_Cour!$U:$U,$B33,BV_Data_An_Cour!$V:$V,$C33,BV_Data_An_Cour!$W:$W,L$2)</f>
        <v>3.7</v>
      </c>
      <c r="M33" s="223"/>
      <c r="N33" s="225">
        <f t="shared" si="14"/>
        <v>-35356.300000000003</v>
      </c>
      <c r="O33" s="223"/>
      <c r="P33" s="195">
        <f t="shared" si="15"/>
        <v>120.09116981132075</v>
      </c>
      <c r="Q33" s="180" cm="1">
        <f t="array" ref="Q33">+SUMPRODUCT(('Réel 2024'!$A$8:$A$501=$A33)*('Réel 2024'!$C$3:$AO$3=Q$2),'Réel 2024'!$C$8:$AO$501)</f>
        <v>31824.16</v>
      </c>
      <c r="R33" s="223"/>
      <c r="S33" s="197">
        <f t="shared" si="16"/>
        <v>-31820.46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12"/>
        <v>37</v>
      </c>
      <c r="F34" s="179" cm="1">
        <f t="array" ref="F34">+SUMPRODUCT(('Budget original'!$A$8:$A$501=$A34)*('Budget original'!$C$3:$AO$3=F$2),'Budget original'!$C$8:$AO$501)</f>
        <v>10064</v>
      </c>
      <c r="G34" s="269"/>
      <c r="H34" s="195"/>
      <c r="I34" s="179"/>
      <c r="J34" s="223"/>
      <c r="K34" s="195">
        <f t="shared" si="13"/>
        <v>0</v>
      </c>
      <c r="L34" s="179">
        <f>SUMIFS(BV_Data_An_Cour!$P:$P,BV_Data_An_Cour!$U:$U,$B34,BV_Data_An_Cour!$V:$V,$C34,BV_Data_An_Cour!$W:$W,L$2)</f>
        <v>0</v>
      </c>
      <c r="M34" s="223"/>
      <c r="N34" s="225">
        <f t="shared" si="14"/>
        <v>-10064</v>
      </c>
      <c r="O34" s="223"/>
      <c r="P34" s="195">
        <f t="shared" si="15"/>
        <v>38.978339622641514</v>
      </c>
      <c r="Q34" s="180" cm="1">
        <f t="array" ref="Q34">+SUMPRODUCT(('Réel 2024'!$A$8:$A$501=$A34)*('Réel 2024'!$C$3:$AO$3=Q$2),'Réel 2024'!$C$8:$AO$501)</f>
        <v>10329.26</v>
      </c>
      <c r="R34" s="223"/>
      <c r="S34" s="197">
        <f t="shared" si="16"/>
        <v>-10329.26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2"/>
        <v>61.617647058823529</v>
      </c>
      <c r="F35" s="177" cm="1">
        <f t="array" ref="F35">+SUMPRODUCT(('Budget original'!$A$8:$A$501=$A35)*('Budget original'!$C$3:$AO$3=F$2),'Budget original'!$C$8:$AO$501)</f>
        <v>16760</v>
      </c>
      <c r="G35" s="277"/>
      <c r="H35" s="188"/>
      <c r="I35" s="177"/>
      <c r="J35" s="278"/>
      <c r="K35" s="358">
        <f t="shared" si="13"/>
        <v>356.60874999999999</v>
      </c>
      <c r="L35" s="177">
        <f>SUMIFS(BV_Data_An_Cour!$P:$P,BV_Data_An_Cour!$U:$U,$B35,BV_Data_An_Cour!$V:$V,$C35,BV_Data_An_Cour!$W:$W,L$2)</f>
        <v>2852.87</v>
      </c>
      <c r="M35" s="278"/>
      <c r="N35" s="279">
        <f t="shared" si="14"/>
        <v>-13907.130000000001</v>
      </c>
      <c r="O35" s="278"/>
      <c r="P35" s="358">
        <f t="shared" si="15"/>
        <v>65.460339622641499</v>
      </c>
      <c r="Q35" s="180" cm="1">
        <f t="array" ref="Q35">+SUMPRODUCT(('Réel 2024'!$A$8:$A$501=$A35)*('Réel 2024'!$C$3:$AO$3=Q$2),'Réel 2024'!$C$8:$AO$501)</f>
        <v>17346.989999999998</v>
      </c>
      <c r="R35" s="278"/>
      <c r="S35" s="200">
        <f t="shared" si="16"/>
        <v>-14494.119999999999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12"/>
        <v>513.97058823529414</v>
      </c>
      <c r="F36" s="179" cm="1">
        <f t="array" ref="F36">+SUMPRODUCT(('Budget original'!$A$8:$A$501=$A36)*('Budget original'!$C$3:$AO$3=F$2),'Budget original'!$C$8:$AO$501)</f>
        <v>139800</v>
      </c>
      <c r="G36" s="269"/>
      <c r="H36" s="195"/>
      <c r="I36" s="179"/>
      <c r="J36" s="223"/>
      <c r="K36" s="195">
        <f t="shared" si="13"/>
        <v>1325.5687499999999</v>
      </c>
      <c r="L36" s="546">
        <f>SUMIFS(BV_Data_An_Cour!$P:$P,BV_Data_An_Cour!$U:$U,$B36,BV_Data_An_Cour!$V:$V,$C36,BV_Data_An_Cour!$W:$W,L$2)</f>
        <v>10604.55</v>
      </c>
      <c r="M36" s="178"/>
      <c r="N36" s="225">
        <f t="shared" si="14"/>
        <v>-129195.45</v>
      </c>
      <c r="O36" s="223"/>
      <c r="P36" s="195">
        <f t="shared" si="15"/>
        <v>632.89354716981086</v>
      </c>
      <c r="Q36" s="374" cm="1">
        <f t="array" ref="Q36">+SUMPRODUCT(('Réel 2024'!$A$8:$A$501=$A36)*('Réel 2024'!$C$3:$AO$3=Q$2),'Réel 2024'!$C$8:$AO$501)</f>
        <v>167716.78999999989</v>
      </c>
      <c r="R36" s="223"/>
      <c r="S36" s="197">
        <f t="shared" si="16"/>
        <v>-157112.2399999999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 t="shared" si="12"/>
        <v>1186.9395747630365</v>
      </c>
      <c r="F37" s="179" cm="1">
        <f t="array" ref="F37">+SUMPRODUCT(('Budget original'!$A$8:$A$501=$A37)*('Budget original'!$C$3:$AO$3=F$2),'Budget original'!$C$8:$AO$501)</f>
        <v>322847.56433554593</v>
      </c>
      <c r="G37" s="269"/>
      <c r="H37" s="195"/>
      <c r="I37" s="179"/>
      <c r="J37" s="223"/>
      <c r="K37" s="195">
        <f>IF(L37=0,0,L37/J$24)</f>
        <v>2816.66</v>
      </c>
      <c r="L37" s="547">
        <f>SUMIFS(BV_Data_An_Cour!$P:$P,BV_Data_An_Cour!$U:$U,$B37,BV_Data_An_Cour!$V:$V,$C37,BV_Data_An_Cour!$W:$W,L$2)</f>
        <v>22533.279999999999</v>
      </c>
      <c r="M37" s="178"/>
      <c r="N37" s="225">
        <f t="shared" si="14"/>
        <v>-300314.28433554596</v>
      </c>
      <c r="O37" s="223"/>
      <c r="P37" s="195">
        <f t="shared" si="15"/>
        <v>1381.9588679245282</v>
      </c>
      <c r="Q37" s="180" cm="1">
        <f t="array" ref="Q37">+SUMPRODUCT(('Réel 2024'!$A$8:$A$501=$A37)*('Réel 2024'!$C$3:$AO$3=Q$2),'Réel 2024'!$C$8:$AO$501)</f>
        <v>366219.1</v>
      </c>
      <c r="R37" s="223"/>
      <c r="S37" s="197">
        <f>L37-Q37</f>
        <v>-343685.81999999995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 t="shared" si="12"/>
        <v>0</v>
      </c>
      <c r="F38" s="179" cm="1">
        <f t="array" ref="F38">+SUMPRODUCT(('Budget original'!$A$8:$A$501=$A38)*('Budget original'!$C$3:$AO$3=F$2),'Budget original'!$C$8:$AO$501)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SUMIFS(BV_Data_An_Cour!$P:$P,BV_Data_An_Cour!$U:$U,$B38,BV_Data_An_Cour!$V:$V,$C38,BV_Data_An_Cour!$W:$W,L$2)</f>
        <v>0</v>
      </c>
      <c r="M38" s="178"/>
      <c r="N38" s="225">
        <f t="shared" si="14"/>
        <v>0</v>
      </c>
      <c r="O38" s="223"/>
      <c r="P38" s="195">
        <f t="shared" si="15"/>
        <v>0</v>
      </c>
      <c r="Q38" s="180" cm="1">
        <f t="array" ref="Q38">+SUMPRODUCT(('Réel 2024'!$A$8:$A$501=$A38)*('Réel 2024'!$C$3:$AO$3=Q$2),'Réel 2024'!$C$8:$AO$501)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 t="shared" si="12"/>
        <v>0</v>
      </c>
      <c r="F39" s="179" cm="1">
        <f t="array" ref="F39">+SUMPRODUCT(('Budget original'!$A$8:$A$501=$A39)*('Budget original'!$C$3:$AO$3=F$2),'Budget original'!$C$8:$AO$501)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SUMIFS(BV_Data_An_Cour!$P:$P,BV_Data_An_Cour!$U:$U,$B39,BV_Data_An_Cour!$V:$V,$C39,BV_Data_An_Cour!$W:$W,L$2)</f>
        <v>0</v>
      </c>
      <c r="M39" s="178"/>
      <c r="N39" s="225">
        <f t="shared" si="14"/>
        <v>0</v>
      </c>
      <c r="O39" s="223"/>
      <c r="P39" s="195">
        <f t="shared" si="15"/>
        <v>0</v>
      </c>
      <c r="Q39" s="180" cm="1">
        <f t="array" ref="Q39">+SUMPRODUCT(('Réel 2024'!$A$8:$A$501=$A39)*('Réel 2024'!$C$3:$AO$3=Q$2),'Réel 2024'!$C$8:$AO$501)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 t="shared" si="12"/>
        <v>0</v>
      </c>
      <c r="F40" s="179" cm="1">
        <f t="array" ref="F40">+SUMPRODUCT(('Budget original'!$A$8:$A$501=$A40)*('Budget original'!$C$3:$AO$3=F$2),'Budget original'!$C$8:$AO$501)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SUMIFS(BV_Data_An_Cour!$P:$P,BV_Data_An_Cour!$U:$U,$B40,BV_Data_An_Cour!$V:$V,$C40,BV_Data_An_Cour!$W:$W,L$2)</f>
        <v>0</v>
      </c>
      <c r="M40" s="178"/>
      <c r="N40" s="225">
        <f t="shared" si="14"/>
        <v>0</v>
      </c>
      <c r="O40" s="223"/>
      <c r="P40" s="195">
        <f t="shared" si="15"/>
        <v>0</v>
      </c>
      <c r="Q40" s="180" cm="1">
        <f t="array" ref="Q40">+SUMPRODUCT(('Réel 2024'!$A$8:$A$501=$A40)*('Réel 2024'!$C$3:$AO$3=Q$2),'Réel 2024'!$C$8:$AO$501)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0.63485498476177826</v>
      </c>
      <c r="F41" s="41">
        <f>SUM(F31:F40)</f>
        <v>940080.56433554599</v>
      </c>
      <c r="G41" s="42"/>
      <c r="H41" s="40"/>
      <c r="I41" s="41"/>
      <c r="J41" s="42" t="s">
        <v>108</v>
      </c>
      <c r="K41" s="40">
        <f>L41/L$27</f>
        <v>0.97128309067634033</v>
      </c>
      <c r="L41" s="41">
        <f>SUM(L31:L40)</f>
        <v>49780.91</v>
      </c>
      <c r="M41" s="505"/>
      <c r="N41" s="41">
        <f t="shared" si="14"/>
        <v>-890299.65433554596</v>
      </c>
      <c r="O41" s="42" t="s">
        <v>108</v>
      </c>
      <c r="P41" s="40">
        <f>Q41/Q$27</f>
        <v>0.66856529856789648</v>
      </c>
      <c r="Q41" s="504">
        <f>SUM(Q31:Q40)</f>
        <v>1098029.45</v>
      </c>
      <c r="R41" s="44"/>
      <c r="S41" s="285">
        <f t="shared" si="16"/>
        <v>-1048248.5399999999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 cm="1">
        <f t="array" ref="F42">+SUMPRODUCT(('Budget original'!$A$8:$A$501=$A42)*('Budget original'!$C$3:$AO$3=F$2),'Budget original'!$C$8:$AO$501)</f>
        <v>150304.6</v>
      </c>
      <c r="G42" s="223"/>
      <c r="H42" s="178"/>
      <c r="I42" s="179"/>
      <c r="J42" s="223"/>
      <c r="K42" s="178"/>
      <c r="L42" s="180">
        <f>SUMIFS(BV_Data_An_Cour!$P:$P,BV_Data_An_Cour!$U:$U,$B42,BV_Data_An_Cour!$V:$V,$C42,BV_Data_An_Cour!$W:$W,L$2)</f>
        <v>10268.969999999999</v>
      </c>
      <c r="M42" s="223"/>
      <c r="N42" s="225">
        <f t="shared" si="14"/>
        <v>-140035.63</v>
      </c>
      <c r="O42" s="223"/>
      <c r="P42" s="178"/>
      <c r="Q42" s="180" cm="1">
        <f t="array" ref="Q42">+SUMPRODUCT(('Réel 2024'!$A$8:$A$501=$A42)*('Réel 2024'!$C$3:$AO$3=Q$2),'Réel 2024'!$C$8:$AO$501)</f>
        <v>145432.01999999999</v>
      </c>
      <c r="R42" s="223"/>
      <c r="S42" s="197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 cm="1">
        <f t="array" ref="F43">+SUMPRODUCT(('Budget original'!$A$8:$A$501=$A43)*('Budget original'!$C$3:$AO$3=F$2),'Budget original'!$C$8:$AO$501)</f>
        <v>115883.20000000001</v>
      </c>
      <c r="G43" s="269"/>
      <c r="H43" s="178"/>
      <c r="I43" s="177"/>
      <c r="J43" s="223"/>
      <c r="K43" s="178"/>
      <c r="L43" s="180">
        <f>SUMIFS(BV_Data_An_Cour!$P:$P,BV_Data_An_Cour!$U:$U,$B43,BV_Data_An_Cour!$V:$V,$C43,BV_Data_An_Cour!$W:$W,L$2)</f>
        <v>7244.51</v>
      </c>
      <c r="M43" s="223"/>
      <c r="N43" s="225">
        <f t="shared" si="14"/>
        <v>-108638.69000000002</v>
      </c>
      <c r="O43" s="223"/>
      <c r="P43" s="178"/>
      <c r="Q43" s="180" cm="1">
        <f t="array" ref="Q43">+SUMPRODUCT(('Réel 2024'!$A$8:$A$501=$A43)*('Réel 2024'!$C$3:$AO$3=Q$2),'Réel 2024'!$C$8:$AO$501)</f>
        <v>109318.68000000001</v>
      </c>
      <c r="R43" s="223"/>
      <c r="S43" s="197">
        <f t="shared" ref="S43:S53" si="17">L43-Q43</f>
        <v>-102074.17000000001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 cm="1">
        <f t="array" ref="F44">+SUMPRODUCT(('Budget original'!$A$8:$A$501=$A44)*('Budget original'!$C$3:$AO$3=F$2),'Budget original'!$C$8:$AO$501)</f>
        <v>4104</v>
      </c>
      <c r="G44" s="272"/>
      <c r="H44" s="271"/>
      <c r="I44" s="179"/>
      <c r="J44" s="273"/>
      <c r="K44" s="271"/>
      <c r="L44" s="181">
        <f>SUMIFS(BV_Data_An_Cour!$P:$P,BV_Data_An_Cour!$U:$U,$B44,BV_Data_An_Cour!$V:$V,$C44,BV_Data_An_Cour!$W:$W,L$2)</f>
        <v>0</v>
      </c>
      <c r="M44" s="273"/>
      <c r="N44" s="274">
        <f t="shared" si="14"/>
        <v>-4104</v>
      </c>
      <c r="O44" s="273"/>
      <c r="P44" s="271"/>
      <c r="Q44" s="181" cm="1">
        <f t="array" ref="Q44">+SUMPRODUCT(('Réel 2024'!$A$8:$A$501=$A44)*('Réel 2024'!$C$3:$AO$3=Q$2),'Réel 2024'!$C$8:$AO$501)</f>
        <v>4104</v>
      </c>
      <c r="R44" s="273"/>
      <c r="S44" s="199">
        <f t="shared" si="17"/>
        <v>-4104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 cm="1">
        <f t="array" ref="F45">+SUMPRODUCT(('Budget original'!$A$8:$A$501=$A45)*('Budget original'!$C$3:$AO$3=F$2),'Budget original'!$C$8:$AO$501)</f>
        <v>0</v>
      </c>
      <c r="G45" s="269"/>
      <c r="H45" s="178"/>
      <c r="I45" s="179"/>
      <c r="J45" s="223"/>
      <c r="K45" s="178"/>
      <c r="L45" s="180">
        <f>SUMIFS(BV_Data_An_Cour!$P:$P,BV_Data_An_Cour!$U:$U,$B45,BV_Data_An_Cour!$V:$V,$C45,BV_Data_An_Cour!$W:$W,L$2)</f>
        <v>0</v>
      </c>
      <c r="M45" s="223"/>
      <c r="N45" s="225">
        <f t="shared" si="14"/>
        <v>0</v>
      </c>
      <c r="O45" s="223"/>
      <c r="P45" s="178"/>
      <c r="Q45" s="180" cm="1">
        <f t="array" ref="Q45">+SUMPRODUCT(('Réel 2024'!$A$8:$A$501=$A45)*('Réel 2024'!$C$3:$AO$3=Q$2),'Réel 2024'!$C$8:$AO$501)</f>
        <v>0</v>
      </c>
      <c r="R45" s="223"/>
      <c r="S45" s="197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 cm="1">
        <f t="array" ref="F46">+SUMPRODUCT(('Budget original'!$A$8:$A$501=$A46)*('Budget original'!$C$3:$AO$3=F$2),'Budget original'!$C$8:$AO$501)</f>
        <v>0</v>
      </c>
      <c r="G46" s="269"/>
      <c r="H46" s="178"/>
      <c r="I46" s="179"/>
      <c r="J46" s="223"/>
      <c r="K46" s="178"/>
      <c r="L46" s="180">
        <f>SUMIFS(BV_Data_An_Cour!$P:$P,BV_Data_An_Cour!$U:$U,$B46,BV_Data_An_Cour!$V:$V,$C46,BV_Data_An_Cour!$W:$W,L$2)</f>
        <v>0</v>
      </c>
      <c r="M46" s="223"/>
      <c r="N46" s="225">
        <f t="shared" si="14"/>
        <v>0</v>
      </c>
      <c r="O46" s="223"/>
      <c r="P46" s="178"/>
      <c r="Q46" s="180" cm="1">
        <f t="array" ref="Q46">+SUMPRODUCT(('Réel 2024'!$A$8:$A$501=$A46)*('Réel 2024'!$C$3:$AO$3=Q$2),'Réel 2024'!$C$8:$AO$501)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 cm="1">
        <f t="array" ref="F47">+SUMPRODUCT(('Budget original'!$A$8:$A$501=$A47)*('Budget original'!$C$3:$AO$3=F$2),'Budget original'!$C$8:$AO$501)</f>
        <v>0</v>
      </c>
      <c r="G47" s="269"/>
      <c r="H47" s="178"/>
      <c r="I47" s="179"/>
      <c r="J47" s="223"/>
      <c r="K47" s="178"/>
      <c r="L47" s="180">
        <f>SUMIFS(BV_Data_An_Cour!$P:$P,BV_Data_An_Cour!$U:$U,$B47,BV_Data_An_Cour!$V:$V,$C47,BV_Data_An_Cour!$W:$W,L$2)</f>
        <v>0</v>
      </c>
      <c r="M47" s="223"/>
      <c r="N47" s="225">
        <f t="shared" si="14"/>
        <v>0</v>
      </c>
      <c r="O47" s="223"/>
      <c r="P47" s="178"/>
      <c r="Q47" s="180" cm="1">
        <f t="array" ref="Q47">+SUMPRODUCT(('Réel 2024'!$A$8:$A$501=$A47)*('Réel 2024'!$C$3:$AO$3=Q$2),'Réel 2024'!$C$8:$AO$501)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 cm="1">
        <f t="array" ref="F48">+SUMPRODUCT(('Budget original'!$A$8:$A$501=$A48)*('Budget original'!$C$3:$AO$3=F$2),'Budget original'!$C$8:$AO$501)</f>
        <v>0</v>
      </c>
      <c r="G48" s="269"/>
      <c r="H48" s="178"/>
      <c r="I48" s="179"/>
      <c r="J48" s="223"/>
      <c r="K48" s="178"/>
      <c r="L48" s="180">
        <f>SUMIFS(BV_Data_An_Cour!$P:$P,BV_Data_An_Cour!$U:$U,$B48,BV_Data_An_Cour!$V:$V,$C48,BV_Data_An_Cour!$W:$W,L$2)</f>
        <v>0</v>
      </c>
      <c r="M48" s="223"/>
      <c r="N48" s="225">
        <f t="shared" si="14"/>
        <v>0</v>
      </c>
      <c r="O48" s="223"/>
      <c r="P48" s="178"/>
      <c r="Q48" s="180" cm="1">
        <f t="array" ref="Q48">+SUMPRODUCT(('Réel 2024'!$A$8:$A$501=$A48)*('Réel 2024'!$C$3:$AO$3=Q$2),'Réel 2024'!$C$8:$AO$501)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 cm="1">
        <f t="array" ref="F49">+SUMPRODUCT(('Budget original'!$A$8:$A$501=$A49)*('Budget original'!$C$3:$AO$3=F$2),'Budget original'!$C$8:$AO$501)</f>
        <v>88637.497975650243</v>
      </c>
      <c r="G49" s="269"/>
      <c r="H49" s="178"/>
      <c r="I49" s="177"/>
      <c r="J49" s="223"/>
      <c r="K49" s="178"/>
      <c r="L49" s="177">
        <f>SUMIFS(BV_Data_An_Cour!$P:$P,BV_Data_An_Cour!$U:$U,$B49,BV_Data_An_Cour!$V:$V,$C49,BV_Data_An_Cour!$W:$W,L$2)</f>
        <v>179.64</v>
      </c>
      <c r="M49" s="223"/>
      <c r="N49" s="225">
        <f t="shared" si="14"/>
        <v>-88457.857975650244</v>
      </c>
      <c r="O49" s="223"/>
      <c r="P49" s="178"/>
      <c r="Q49" s="177" cm="1">
        <f t="array" ref="Q49">+SUMPRODUCT(('Réel 2024'!$A$8:$A$501=$A49)*('Réel 2024'!$C$3:$AO$3=Q$2),'Réel 2024'!$C$8:$AO$501)</f>
        <v>100107.47999999998</v>
      </c>
      <c r="R49" s="223"/>
      <c r="S49" s="197">
        <f t="shared" si="17"/>
        <v>-99927.839999999982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 cm="1">
        <f t="array" ref="F50">+SUMPRODUCT(('Budget original'!$A$8:$A$501=$A50)*('Budget original'!$C$3:$AO$3=F$2),'Budget original'!$C$8:$AO$501)</f>
        <v>101920.83505883538</v>
      </c>
      <c r="G50" s="272"/>
      <c r="H50" s="271"/>
      <c r="I50" s="179"/>
      <c r="J50" s="273"/>
      <c r="K50" s="271"/>
      <c r="L50" s="180">
        <f>SUMIFS(BV_Data_An_Cour!$P:$P,BV_Data_An_Cour!$U:$U,$B50,BV_Data_An_Cour!$V:$V,$C50,BV_Data_An_Cour!$W:$W,L$2)</f>
        <v>6796.55</v>
      </c>
      <c r="M50" s="273"/>
      <c r="N50" s="274">
        <f t="shared" si="14"/>
        <v>-95124.285058835376</v>
      </c>
      <c r="O50" s="273"/>
      <c r="P50" s="271"/>
      <c r="Q50" s="180" cm="1">
        <f t="array" ref="Q50">+SUMPRODUCT(('Réel 2024'!$A$8:$A$501=$A50)*('Réel 2024'!$C$3:$AO$3=Q$2),'Réel 2024'!$C$8:$AO$501)</f>
        <v>103363.31</v>
      </c>
      <c r="R50" s="273"/>
      <c r="S50" s="199">
        <f t="shared" si="17"/>
        <v>-96566.76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 cm="1">
        <f t="array" ref="F51">+SUMPRODUCT(('Budget original'!$A$8:$A$501=$A51)*('Budget original'!$C$3:$AO$3=F$2),'Budget original'!$C$8:$AO$501)</f>
        <v>53342.478484615385</v>
      </c>
      <c r="G51" s="269"/>
      <c r="H51" s="178"/>
      <c r="I51" s="179"/>
      <c r="J51" s="223"/>
      <c r="K51" s="178"/>
      <c r="L51" s="180">
        <f>SUMIFS(BV_Data_An_Cour!$P:$P,BV_Data_An_Cour!$U:$U,$B51,BV_Data_An_Cour!$V:$V,$C51,BV_Data_An_Cour!$W:$W,L$2)</f>
        <v>3722.69</v>
      </c>
      <c r="M51" s="223"/>
      <c r="N51" s="225">
        <f t="shared" si="14"/>
        <v>-49619.788484615383</v>
      </c>
      <c r="O51" s="223"/>
      <c r="P51" s="178"/>
      <c r="Q51" s="180" cm="1">
        <f t="array" ref="Q51">+SUMPRODUCT(('Réel 2024'!$A$8:$A$501=$A51)*('Réel 2024'!$C$3:$AO$3=Q$2),'Réel 2024'!$C$8:$AO$501)</f>
        <v>53589.77</v>
      </c>
      <c r="R51" s="223"/>
      <c r="S51" s="197">
        <f t="shared" si="17"/>
        <v>-49867.079999999994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 cm="1">
        <f t="array" ref="F52">+SUMPRODUCT(('Budget original'!$A$8:$A$501=$A52)*('Budget original'!$C$3:$AO$3=F$2),'Budget original'!$C$8:$AO$501)</f>
        <v>11430.531103846153</v>
      </c>
      <c r="G52" s="269"/>
      <c r="H52" s="178"/>
      <c r="I52" s="179"/>
      <c r="J52" s="223"/>
      <c r="K52" s="178"/>
      <c r="L52" s="180">
        <f>SUMIFS(BV_Data_An_Cour!$P:$P,BV_Data_An_Cour!$U:$U,$B52,BV_Data_An_Cour!$V:$V,$C52,BV_Data_An_Cour!$W:$W,L$2)</f>
        <v>1572.23</v>
      </c>
      <c r="M52" s="223"/>
      <c r="N52" s="225">
        <f t="shared" si="14"/>
        <v>-9858.3011038461536</v>
      </c>
      <c r="O52" s="223"/>
      <c r="P52" s="178"/>
      <c r="Q52" s="180" cm="1">
        <f t="array" ref="Q52">+SUMPRODUCT(('Réel 2024'!$A$8:$A$501=$A52)*('Réel 2024'!$C$3:$AO$3=Q$2),'Réel 2024'!$C$8:$AO$501)</f>
        <v>8279.19</v>
      </c>
      <c r="R52" s="223"/>
      <c r="S52" s="197">
        <f t="shared" si="17"/>
        <v>-6706.9600000000009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79" cm="1">
        <f t="array" ref="F53">+SUMPRODUCT(('Budget original'!$A$8:$A$501=$A53)*('Budget original'!$C$3:$AO$3=F$2),'Budget original'!$C$8:$AO$501)</f>
        <v>0</v>
      </c>
      <c r="G53" s="277"/>
      <c r="H53" s="276"/>
      <c r="I53" s="179"/>
      <c r="J53" s="278"/>
      <c r="K53" s="276"/>
      <c r="L53" s="180">
        <f>SUMIFS(BV_Data_An_Cour!$P:$P,BV_Data_An_Cour!$U:$U,$B53,BV_Data_An_Cour!$V:$V,$C53,BV_Data_An_Cour!$W:$W,L$2)</f>
        <v>0</v>
      </c>
      <c r="M53" s="278"/>
      <c r="N53" s="279">
        <f t="shared" si="14"/>
        <v>0</v>
      </c>
      <c r="O53" s="278"/>
      <c r="P53" s="276"/>
      <c r="Q53" s="180" cm="1">
        <f t="array" ref="Q53">+SUMPRODUCT(('Réel 2024'!$A$8:$A$501=$A53)*('Réel 2024'!$C$3:$AO$3=Q$2),'Réel 2024'!$C$8:$AO$501)</f>
        <v>0</v>
      </c>
      <c r="R53" s="278"/>
      <c r="S53" s="200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0.35496369658082039</v>
      </c>
      <c r="F54" s="41">
        <f>+SUM(F42:F53)</f>
        <v>525623.14262294723</v>
      </c>
      <c r="G54" s="42"/>
      <c r="H54" s="40"/>
      <c r="I54" s="41"/>
      <c r="J54" s="42" t="s">
        <v>108</v>
      </c>
      <c r="K54" s="40">
        <f>L54/L$27</f>
        <v>0.58113177580979558</v>
      </c>
      <c r="L54" s="41">
        <f>+SUM(L42:L53)</f>
        <v>29784.589999999997</v>
      </c>
      <c r="M54" s="44"/>
      <c r="N54" s="41">
        <f>+SUM(N42:N53)</f>
        <v>-495838.55262294714</v>
      </c>
      <c r="O54" s="42" t="s">
        <v>108</v>
      </c>
      <c r="P54" s="40">
        <f>Q54/Q$27</f>
        <v>0.31917014518315906</v>
      </c>
      <c r="Q54" s="41">
        <f>+SUM(Q42:Q53)</f>
        <v>524194.45</v>
      </c>
      <c r="R54" s="44"/>
      <c r="S54" s="285">
        <f>+SUM(S42:S53)</f>
        <v>-359246.81000000006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 cm="1">
        <f t="array" ref="F55">+SUMPRODUCT(('Budget original'!$A$8:$A$501=$A55)*('Budget original'!$C$3:$AO$3=F$2),'Budget original'!$C$8:$AO$501)</f>
        <v>0</v>
      </c>
      <c r="G55" s="269"/>
      <c r="H55" s="178"/>
      <c r="I55" s="179"/>
      <c r="J55" s="223"/>
      <c r="K55" s="178"/>
      <c r="L55" s="180">
        <f>SUMIFS(BV_Data_An_Cour!$P:$P,BV_Data_An_Cour!$U:$U,$B55,BV_Data_An_Cour!$V:$V,$C55,BV_Data_An_Cour!$W:$W,L$2)</f>
        <v>0</v>
      </c>
      <c r="M55" s="223"/>
      <c r="N55" s="225">
        <f t="shared" ref="N55:N71" si="18">L55-F55</f>
        <v>0</v>
      </c>
      <c r="O55" s="223"/>
      <c r="P55" s="178"/>
      <c r="Q55" s="180" cm="1">
        <f t="array" ref="Q55">+SUMPRODUCT(('Réel 2024'!$A$8:$A$501=$A55)*('Réel 2024'!$C$3:$AO$3=Q$2),'Réel 2024'!$C$8:$AO$501)</f>
        <v>0</v>
      </c>
      <c r="R55" s="223"/>
      <c r="S55" s="197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 cm="1">
        <f t="array" ref="F56">+SUMPRODUCT(('Budget original'!$A$8:$A$501=$A56)*('Budget original'!$C$3:$AO$3=F$2),'Budget original'!$C$8:$AO$501)</f>
        <v>0</v>
      </c>
      <c r="G56" s="269"/>
      <c r="H56" s="178"/>
      <c r="I56" s="179"/>
      <c r="J56" s="223"/>
      <c r="K56" s="178"/>
      <c r="L56" s="180">
        <f>SUMIFS(BV_Data_An_Cour!$P:$P,BV_Data_An_Cour!$U:$U,$B56,BV_Data_An_Cour!$V:$V,$C56,BV_Data_An_Cour!$W:$W,L$2)</f>
        <v>0</v>
      </c>
      <c r="M56" s="223"/>
      <c r="N56" s="225">
        <f t="shared" si="18"/>
        <v>0</v>
      </c>
      <c r="O56" s="223"/>
      <c r="P56" s="178"/>
      <c r="Q56" s="180" cm="1">
        <f t="array" ref="Q56">+SUMPRODUCT(('Réel 2024'!$A$8:$A$501=$A56)*('Réel 2024'!$C$3:$AO$3=Q$2),'Réel 2024'!$C$8:$AO$501)</f>
        <v>0</v>
      </c>
      <c r="R56" s="223"/>
      <c r="S56" s="197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 cm="1">
        <f t="array" ref="F57">+SUMPRODUCT(('Budget original'!$A$8:$A$501=$A57)*('Budget original'!$C$3:$AO$3=F$2),'Budget original'!$C$8:$AO$501)</f>
        <v>79451.199999999997</v>
      </c>
      <c r="G57" s="277"/>
      <c r="H57" s="276"/>
      <c r="I57" s="177"/>
      <c r="J57" s="278"/>
      <c r="K57" s="276"/>
      <c r="L57" s="177">
        <f>SUMIFS(BV_Data_An_Cour!$P:$P,BV_Data_An_Cour!$U:$U,$B57,BV_Data_An_Cour!$V:$V,$C57,BV_Data_An_Cour!$W:$W,L$2)</f>
        <v>2004.38</v>
      </c>
      <c r="M57" s="278"/>
      <c r="N57" s="279">
        <v>0</v>
      </c>
      <c r="O57" s="278"/>
      <c r="P57" s="276"/>
      <c r="Q57" s="177" cm="1">
        <f t="array" ref="Q57">+SUMPRODUCT(('Réel 2024'!$A$8:$A$501=$A57)*('Réel 2024'!$C$3:$AO$3=Q$2),'Réel 2024'!$C$8:$AO$501)</f>
        <v>88238.200000000012</v>
      </c>
      <c r="R57" s="278"/>
      <c r="S57" s="200">
        <f t="shared" si="19"/>
        <v>-86233.82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 cm="1">
        <f t="array" ref="F58">+SUMPRODUCT(('Budget original'!$A$8:$A$501=$A58)*('Budget original'!$C$3:$AO$3=F$2),'Budget original'!$C$8:$AO$501)</f>
        <v>58539.600000000013</v>
      </c>
      <c r="G58" s="269"/>
      <c r="H58" s="178"/>
      <c r="I58" s="179"/>
      <c r="J58" s="223"/>
      <c r="K58" s="178"/>
      <c r="L58" s="180">
        <f>SUMIFS(BV_Data_An_Cour!$P:$P,BV_Data_An_Cour!$U:$U,$B58,BV_Data_An_Cour!$V:$V,$C58,BV_Data_An_Cour!$W:$W,L$2)</f>
        <v>5491.56</v>
      </c>
      <c r="M58" s="223"/>
      <c r="N58" s="225">
        <f t="shared" si="18"/>
        <v>-53048.040000000015</v>
      </c>
      <c r="O58" s="223"/>
      <c r="P58" s="178"/>
      <c r="Q58" s="180" cm="1">
        <f t="array" ref="Q58">+SUMPRODUCT(('Réel 2024'!$A$8:$A$501=$A58)*('Réel 2024'!$C$3:$AO$3=Q$2),'Réel 2024'!$C$8:$AO$501)</f>
        <v>54831.46</v>
      </c>
      <c r="R58" s="223"/>
      <c r="S58" s="197">
        <f t="shared" si="19"/>
        <v>-49339.9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 cm="1">
        <f t="array" ref="F59">+SUMPRODUCT(('Budget original'!$A$8:$A$501=$A59)*('Budget original'!$C$3:$AO$3=F$2),'Budget original'!$C$8:$AO$501)</f>
        <v>9900</v>
      </c>
      <c r="G59" s="269"/>
      <c r="H59" s="178"/>
      <c r="I59" s="179"/>
      <c r="J59" s="223"/>
      <c r="K59" s="178"/>
      <c r="L59" s="180">
        <f>SUMIFS(BV_Data_An_Cour!$P:$P,BV_Data_An_Cour!$U:$U,$B59,BV_Data_An_Cour!$V:$V,$C59,BV_Data_An_Cour!$W:$W,L$2)</f>
        <v>229.19</v>
      </c>
      <c r="M59" s="223"/>
      <c r="N59" s="225">
        <f t="shared" si="18"/>
        <v>-9670.81</v>
      </c>
      <c r="O59" s="223"/>
      <c r="P59" s="178"/>
      <c r="Q59" s="180" cm="1">
        <f t="array" ref="Q59">+SUMPRODUCT(('Réel 2024'!$A$8:$A$501=$A59)*('Réel 2024'!$C$3:$AO$3=Q$2),'Réel 2024'!$C$8:$AO$501)</f>
        <v>15061.779999999999</v>
      </c>
      <c r="R59" s="223"/>
      <c r="S59" s="197">
        <f t="shared" si="19"/>
        <v>-14832.589999999998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 cm="1">
        <f t="array" ref="F60">+SUMPRODUCT(('Budget original'!$A$8:$A$501=$A60)*('Budget original'!$C$3:$AO$3=F$2),'Budget original'!$C$8:$AO$501)</f>
        <v>39776.399999999994</v>
      </c>
      <c r="G60" s="277"/>
      <c r="H60" s="276"/>
      <c r="I60" s="177"/>
      <c r="J60" s="278"/>
      <c r="K60" s="276"/>
      <c r="L60" s="177">
        <f>SUMIFS(BV_Data_An_Cour!$P:$P,BV_Data_An_Cour!$U:$U,$B60,BV_Data_An_Cour!$V:$V,$C60,BV_Data_An_Cour!$W:$W,L$2)</f>
        <v>4998.7700000000004</v>
      </c>
      <c r="M60" s="278"/>
      <c r="N60" s="279">
        <f t="shared" si="18"/>
        <v>-34777.62999999999</v>
      </c>
      <c r="O60" s="278"/>
      <c r="P60" s="276"/>
      <c r="Q60" s="177" cm="1">
        <f t="array" ref="Q60">+SUMPRODUCT(('Réel 2024'!$A$8:$A$501=$A60)*('Réel 2024'!$C$3:$AO$3=Q$2),'Réel 2024'!$C$8:$AO$501)</f>
        <v>41147.009999999995</v>
      </c>
      <c r="R60" s="278"/>
      <c r="S60" s="200">
        <f t="shared" si="19"/>
        <v>-36148.239999999991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 cm="1">
        <f t="array" ref="F61">+SUMPRODUCT(('Budget original'!$A$8:$A$501=$A61)*('Budget original'!$C$3:$AO$3=F$2),'Budget original'!$C$8:$AO$501)</f>
        <v>480</v>
      </c>
      <c r="G61" s="269"/>
      <c r="H61" s="178"/>
      <c r="I61" s="179"/>
      <c r="J61" s="223"/>
      <c r="K61" s="178"/>
      <c r="L61" s="180">
        <f>SUMIFS(BV_Data_An_Cour!$P:$P,BV_Data_An_Cour!$U:$U,$B61,BV_Data_An_Cour!$V:$V,$C61,BV_Data_An_Cour!$W:$W,L$2)</f>
        <v>13.12</v>
      </c>
      <c r="M61" s="223"/>
      <c r="N61" s="225">
        <f t="shared" si="18"/>
        <v>-466.88</v>
      </c>
      <c r="O61" s="223"/>
      <c r="P61" s="178"/>
      <c r="Q61" s="180" cm="1">
        <f t="array" ref="Q61">+SUMPRODUCT(('Réel 2024'!$A$8:$A$501=$A61)*('Réel 2024'!$C$3:$AO$3=Q$2),'Réel 2024'!$C$8:$AO$501)</f>
        <v>928.47</v>
      </c>
      <c r="R61" s="223"/>
      <c r="S61" s="197">
        <f t="shared" si="19"/>
        <v>-915.35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 cm="1">
        <f t="array" ref="F62">+SUMPRODUCT(('Budget original'!$A$8:$A$501=$A62)*('Budget original'!$C$3:$AO$3=F$2),'Budget original'!$C$8:$AO$501)</f>
        <v>360</v>
      </c>
      <c r="G62" s="269"/>
      <c r="H62" s="178"/>
      <c r="I62" s="179"/>
      <c r="J62" s="223"/>
      <c r="K62" s="178"/>
      <c r="L62" s="180">
        <f>SUMIFS(BV_Data_An_Cour!$P:$P,BV_Data_An_Cour!$U:$U,$B62,BV_Data_An_Cour!$V:$V,$C62,BV_Data_An_Cour!$W:$W,L$2)</f>
        <v>0</v>
      </c>
      <c r="M62" s="223"/>
      <c r="N62" s="225">
        <f t="shared" si="18"/>
        <v>-360</v>
      </c>
      <c r="O62" s="223"/>
      <c r="P62" s="178"/>
      <c r="Q62" s="180" cm="1">
        <f t="array" ref="Q62">+SUMPRODUCT(('Réel 2024'!$A$8:$A$501=$A62)*('Réel 2024'!$C$3:$AO$3=Q$2),'Réel 2024'!$C$8:$AO$501)</f>
        <v>554.66000000000008</v>
      </c>
      <c r="R62" s="223"/>
      <c r="S62" s="197">
        <f t="shared" si="19"/>
        <v>-554.66000000000008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 cm="1">
        <f t="array" ref="F63">+SUMPRODUCT(('Budget original'!$A$8:$A$501=$A63)*('Budget original'!$C$3:$AO$3=F$2),'Budget original'!$C$8:$AO$501)</f>
        <v>8505</v>
      </c>
      <c r="G63" s="269"/>
      <c r="H63" s="178"/>
      <c r="I63" s="179"/>
      <c r="J63" s="223"/>
      <c r="K63" s="178"/>
      <c r="L63" s="473">
        <f>SUMIFS(BV_Data_An_Cour!$P:$P,BV_Data_An_Cour!$U:$U,$B63,BV_Data_An_Cour!$V:$V,$C63,BV_Data_An_Cour!$W:$W,L$2)</f>
        <v>170.18</v>
      </c>
      <c r="M63" s="223"/>
      <c r="N63" s="225">
        <f t="shared" si="18"/>
        <v>-8334.82</v>
      </c>
      <c r="O63" s="223"/>
      <c r="P63" s="178"/>
      <c r="Q63" s="473" cm="1">
        <f t="array" ref="Q63">+SUMPRODUCT(('Réel 2024'!$A$8:$A$501=$A63)*('Réel 2024'!$C$3:$AO$3=Q$2),'Réel 2024'!$C$8:$AO$501)</f>
        <v>7259.26</v>
      </c>
      <c r="R63" s="223"/>
      <c r="S63" s="197">
        <f t="shared" si="19"/>
        <v>-7089.08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 cm="1">
        <f t="array" ref="F64">+SUMPRODUCT(('Budget original'!$A$8:$A$501=$A64)*('Budget original'!$C$3:$AO$3=F$2),'Budget original'!$C$8:$AO$501)</f>
        <v>2524.8000000000006</v>
      </c>
      <c r="G64" s="269"/>
      <c r="H64" s="178"/>
      <c r="I64" s="179"/>
      <c r="J64" s="223"/>
      <c r="K64" s="178"/>
      <c r="L64" s="180">
        <f>SUMIFS(BV_Data_An_Cour!$P:$P,BV_Data_An_Cour!$U:$U,$B64,BV_Data_An_Cour!$V:$V,$C64,BV_Data_An_Cour!$W:$W,L$2)</f>
        <v>350.52</v>
      </c>
      <c r="M64" s="223"/>
      <c r="N64" s="225">
        <f t="shared" si="18"/>
        <v>-2174.2800000000007</v>
      </c>
      <c r="O64" s="223"/>
      <c r="P64" s="178"/>
      <c r="Q64" s="180" cm="1">
        <f t="array" ref="Q64">+SUMPRODUCT(('Réel 2024'!$A$8:$A$501=$A64)*('Réel 2024'!$C$3:$AO$3=Q$2),'Réel 2024'!$C$8:$AO$501)</f>
        <v>2891.49</v>
      </c>
      <c r="R64" s="223"/>
      <c r="S64" s="197">
        <f t="shared" si="19"/>
        <v>-2540.9699999999998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 cm="1">
        <f t="array" ref="F65">+SUMPRODUCT(('Budget original'!$A$8:$A$501=$A65)*('Budget original'!$C$3:$AO$3=F$2),'Budget original'!$C$8:$AO$501)</f>
        <v>2430</v>
      </c>
      <c r="G65" s="269"/>
      <c r="H65" s="178"/>
      <c r="I65" s="179"/>
      <c r="J65" s="223"/>
      <c r="K65" s="178"/>
      <c r="L65" s="180">
        <f>SUMIFS(BV_Data_An_Cour!$P:$P,BV_Data_An_Cour!$U:$U,$B65,BV_Data_An_Cour!$V:$V,$C65,BV_Data_An_Cour!$W:$W,L$2)</f>
        <v>88.66</v>
      </c>
      <c r="M65" s="223"/>
      <c r="N65" s="225">
        <f t="shared" si="18"/>
        <v>-2341.34</v>
      </c>
      <c r="O65" s="223"/>
      <c r="P65" s="178"/>
      <c r="Q65" s="180" cm="1">
        <f t="array" ref="Q65">+SUMPRODUCT(('Réel 2024'!$A$8:$A$501=$A65)*('Réel 2024'!$C$3:$AO$3=Q$2),'Réel 2024'!$C$8:$AO$501)</f>
        <v>2023.0000000000005</v>
      </c>
      <c r="R65" s="223"/>
      <c r="S65" s="197">
        <f t="shared" si="19"/>
        <v>-1934.3400000000004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 cm="1">
        <f t="array" ref="F66">+SUMPRODUCT(('Budget original'!$A$8:$A$501=$A66)*('Budget original'!$C$3:$AO$3=F$2),'Budget original'!$C$8:$AO$501)</f>
        <v>9401.4</v>
      </c>
      <c r="G66" s="269"/>
      <c r="H66" s="178"/>
      <c r="I66" s="179"/>
      <c r="J66" s="223"/>
      <c r="K66" s="178"/>
      <c r="L66" s="180">
        <f>SUMIFS(BV_Data_An_Cour!$P:$P,BV_Data_An_Cour!$U:$U,$B66,BV_Data_An_Cour!$V:$V,$C66,BV_Data_An_Cour!$W:$W,L$2)</f>
        <v>203.99</v>
      </c>
      <c r="M66" s="223"/>
      <c r="N66" s="225">
        <f t="shared" si="18"/>
        <v>-9197.41</v>
      </c>
      <c r="O66" s="223"/>
      <c r="P66" s="178"/>
      <c r="Q66" s="180" cm="1">
        <f t="array" ref="Q66">+SUMPRODUCT(('Réel 2024'!$A$8:$A$501=$A66)*('Réel 2024'!$C$3:$AO$3=Q$2),'Réel 2024'!$C$8:$AO$501)</f>
        <v>9075.8799999999883</v>
      </c>
      <c r="R66" s="223"/>
      <c r="S66" s="197">
        <f t="shared" si="19"/>
        <v>-8871.8899999999885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 cm="1">
        <f t="array" ref="F67">+SUMPRODUCT(('Budget original'!$A$8:$A$501=$A67)*('Budget original'!$C$3:$AO$3=F$2),'Budget original'!$C$8:$AO$501)</f>
        <v>6698.2021199999981</v>
      </c>
      <c r="G67" s="269"/>
      <c r="H67" s="178"/>
      <c r="I67" s="179"/>
      <c r="J67" s="223"/>
      <c r="K67" s="178"/>
      <c r="L67" s="179">
        <f>SUMIFS(BV_Data_An_Cour!$P:$P,BV_Data_An_Cour!$U:$U,$B67,BV_Data_An_Cour!$V:$V,$C67,BV_Data_An_Cour!$W:$W,L$2)</f>
        <v>925.53</v>
      </c>
      <c r="M67" s="223"/>
      <c r="N67" s="225">
        <f t="shared" si="18"/>
        <v>-5772.6721199999984</v>
      </c>
      <c r="O67" s="223"/>
      <c r="P67" s="178"/>
      <c r="Q67" s="180" cm="1">
        <f t="array" ref="Q67">+SUMPRODUCT(('Réel 2024'!$A$8:$A$501=$A67)*('Réel 2024'!$C$3:$AO$3=Q$2),'Réel 2024'!$C$8:$AO$501)</f>
        <v>3658.1400000000003</v>
      </c>
      <c r="R67" s="223"/>
      <c r="S67" s="197">
        <f>L67-Q67</f>
        <v>-2732.6100000000006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 cm="1">
        <f t="array" ref="F68">+SUMPRODUCT(('Budget original'!$A$8:$A$501=$A68)*('Budget original'!$C$3:$AO$3=F$2),'Budget original'!$C$8:$AO$501)</f>
        <v>35336.857952647064</v>
      </c>
      <c r="G68" s="269"/>
      <c r="H68" s="178"/>
      <c r="I68" s="179"/>
      <c r="J68" s="223"/>
      <c r="K68" s="178"/>
      <c r="L68" s="179">
        <f>SUMIFS(BV_Data_An_Cour!$P:$P,BV_Data_An_Cour!$U:$U,$B68,BV_Data_An_Cour!$V:$V,$C68,BV_Data_An_Cour!$W:$W,L$2)</f>
        <v>2301.85</v>
      </c>
      <c r="M68" s="223"/>
      <c r="N68" s="225">
        <f t="shared" si="18"/>
        <v>-33035.007952647065</v>
      </c>
      <c r="O68" s="223"/>
      <c r="P68" s="178"/>
      <c r="Q68" s="180" cm="1">
        <f t="array" ref="Q68">+SUMPRODUCT(('Réel 2024'!$A$8:$A$501=$A68)*('Réel 2024'!$C$3:$AO$3=Q$2),'Réel 2024'!$C$8:$AO$501)</f>
        <v>35883.200000000004</v>
      </c>
      <c r="R68" s="223"/>
      <c r="S68" s="197">
        <f>L68-Q68</f>
        <v>-33581.350000000006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 cm="1">
        <f t="array" ref="F69">+SUMPRODUCT(('Budget original'!$A$8:$A$501=$A69)*('Budget original'!$C$3:$AO$3=F$2),'Budget original'!$C$8:$AO$501)</f>
        <v>0</v>
      </c>
      <c r="G69" s="269"/>
      <c r="H69" s="178"/>
      <c r="I69" s="179"/>
      <c r="J69" s="223"/>
      <c r="K69" s="178"/>
      <c r="L69" s="180"/>
      <c r="M69" s="223"/>
      <c r="N69" s="225">
        <f t="shared" si="18"/>
        <v>0</v>
      </c>
      <c r="O69" s="223"/>
      <c r="P69" s="178"/>
      <c r="Q69" s="180" cm="1">
        <f t="array" ref="Q69">+SUMPRODUCT(('Réel 2024'!$A$8:$A$501=$A69)*('Réel 2024'!$C$3:$AO$3=Q$2),'Réel 2024'!$C$8:$AO$501)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 cm="1">
        <f t="array" ref="F70">+SUMPRODUCT(('Budget original'!$A$8:$A$501=$A70)*('Budget original'!$C$3:$AO$3=F$2),'Budget original'!$C$8:$AO$501)</f>
        <v>0</v>
      </c>
      <c r="G70" s="269"/>
      <c r="H70" s="178"/>
      <c r="I70" s="179"/>
      <c r="J70" s="223"/>
      <c r="K70" s="178"/>
      <c r="L70" s="180">
        <f>SUMIFS(BV_Data_An_Cour!$P:$P,BV_Data_An_Cour!$U:$U,$B70,BV_Data_An_Cour!$V:$V,$C70,BV_Data_An_Cour!$W:$W,L$2)</f>
        <v>0</v>
      </c>
      <c r="M70" s="223"/>
      <c r="N70" s="225">
        <f t="shared" si="18"/>
        <v>0</v>
      </c>
      <c r="O70" s="223"/>
      <c r="P70" s="178"/>
      <c r="Q70" s="180" cm="1">
        <f t="array" ref="Q70">+SUMPRODUCT(('Réel 2024'!$A$8:$A$501=$A70)*('Réel 2024'!$C$3:$AO$3=Q$2),'Réel 2024'!$C$8:$AO$501)</f>
        <v>0</v>
      </c>
      <c r="R70" s="223"/>
      <c r="S70" s="197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 cm="1">
        <f t="array" ref="F71">+SUMPRODUCT(('Budget original'!$A$8:$A$501=$A71)*('Budget original'!$C$3:$AO$3=F$2),'Budget original'!$C$8:$AO$501)</f>
        <v>0</v>
      </c>
      <c r="G71" s="269"/>
      <c r="H71" s="178"/>
      <c r="I71" s="179"/>
      <c r="J71" s="223"/>
      <c r="K71" s="178"/>
      <c r="L71" s="180">
        <f>SUMIFS(BV_Data_An_Cour!$P:$P,BV_Data_An_Cour!$U:$U,$B71,BV_Data_An_Cour!$V:$V,$C71,BV_Data_An_Cour!$W:$W,L$2)*0.32</f>
        <v>0</v>
      </c>
      <c r="M71" s="223"/>
      <c r="N71" s="225">
        <f t="shared" si="18"/>
        <v>0</v>
      </c>
      <c r="O71" s="223"/>
      <c r="P71" s="178"/>
      <c r="Q71" s="180" cm="1">
        <f t="array" ref="Q71">+SUMPRODUCT(('Réel 2024'!$A$8:$A$501=$A71)*('Réel 2024'!$C$3:$AO$3=Q$2),'Réel 2024'!$C$8:$AO$501)</f>
        <v>0</v>
      </c>
      <c r="R71" s="223"/>
      <c r="S71" s="197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0.17112836482978366</v>
      </c>
      <c r="F72" s="41">
        <f>+SUM(F55:F71)</f>
        <v>253403.46007264705</v>
      </c>
      <c r="G72" s="42"/>
      <c r="H72" s="40"/>
      <c r="I72" s="41"/>
      <c r="J72" s="42" t="s">
        <v>108</v>
      </c>
      <c r="K72" s="40">
        <f>L72/L$27</f>
        <v>0.32735329415623321</v>
      </c>
      <c r="L72" s="41">
        <f>+SUM(L55:L71)</f>
        <v>16777.750000000004</v>
      </c>
      <c r="M72" s="44"/>
      <c r="N72" s="41">
        <f>+SUM(N55:N71)</f>
        <v>-159178.89007264707</v>
      </c>
      <c r="O72" s="42" t="s">
        <v>108</v>
      </c>
      <c r="P72" s="40">
        <f>Q72/Q$27</f>
        <v>0.15925343230269889</v>
      </c>
      <c r="Q72" s="41">
        <f>+SUM(Q55:Q71)</f>
        <v>261552.55000000002</v>
      </c>
      <c r="R72" s="44"/>
      <c r="S72" s="285">
        <f>+SUM(S55:S71)</f>
        <v>-244774.79999999996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1.1609470461723823</v>
      </c>
      <c r="F74" s="41">
        <f>F41+F54+F72</f>
        <v>1719107.1670311403</v>
      </c>
      <c r="G74" s="42"/>
      <c r="H74" s="40"/>
      <c r="I74" s="41"/>
      <c r="J74" s="42" t="s">
        <v>108</v>
      </c>
      <c r="K74" s="40">
        <f>L74/L$27</f>
        <v>1.8797681606423691</v>
      </c>
      <c r="L74" s="41">
        <f>L41+L54+L72</f>
        <v>96343.25</v>
      </c>
      <c r="M74" s="44"/>
      <c r="N74" s="46">
        <f t="shared" ref="N74:N82" si="20">L74-F74</f>
        <v>-1622763.9170311403</v>
      </c>
      <c r="O74" s="42" t="s">
        <v>108</v>
      </c>
      <c r="P74" s="40">
        <f>Q74/Q$27</f>
        <v>1.1469888760537543</v>
      </c>
      <c r="Q74" s="41">
        <f>Q41+Q54+Q72</f>
        <v>1883776.45</v>
      </c>
      <c r="R74" s="44"/>
      <c r="S74" s="281">
        <f>L74-Q74</f>
        <v>-1787433.2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 cm="1">
        <f t="array" ref="F75">+SUMPRODUCT(('Budget original'!$A$8:$A$501=$A75)*('Budget original'!$C$3:$AO$3=F$2),'Budget original'!$C$8:$AO$501)</f>
        <v>435312.80699999997</v>
      </c>
      <c r="G75" s="269"/>
      <c r="H75" s="178"/>
      <c r="I75" s="179"/>
      <c r="J75" s="223"/>
      <c r="K75" s="178"/>
      <c r="L75" s="473">
        <f>-SUMIFS(BV_Data_An_Cour!$P:$P,BV_Data_An_Cour!$U:$U,$B75,BV_Data_An_Cour!$V:$V,$C75,BV_Data_An_Cour!$W:$W,L$2)</f>
        <v>20598</v>
      </c>
      <c r="M75" s="223"/>
      <c r="N75" s="225">
        <f t="shared" si="20"/>
        <v>-414714.80699999997</v>
      </c>
      <c r="O75" s="223"/>
      <c r="P75" s="178"/>
      <c r="Q75" s="473" cm="1">
        <f t="array" ref="Q75">+SUMPRODUCT(('Réel 2024'!$A$8:$A$501=$A75)*('Réel 2024'!$C$3:$AO$3=Q$2),'Réel 2024'!$C$8:$AO$501)</f>
        <v>413289.73000000004</v>
      </c>
      <c r="R75" s="223"/>
      <c r="S75" s="197">
        <f t="shared" ref="S75:S82" si="21">L75-Q75</f>
        <v>-392691.73000000004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 cm="1">
        <f t="array" ref="F76">+SUMPRODUCT(('Budget original'!$A$8:$A$501=$A76)*('Budget original'!$C$3:$AO$3=F$2),'Budget original'!$C$8:$AO$501)</f>
        <v>0</v>
      </c>
      <c r="G76" s="269"/>
      <c r="H76" s="178"/>
      <c r="I76" s="179"/>
      <c r="J76" s="223"/>
      <c r="K76" s="178"/>
      <c r="L76" s="473">
        <f>-SUMIFS(BV_Data_An_Cour!$P:$P,BV_Data_An_Cour!$U:$U,$B76,BV_Data_An_Cour!$V:$V,$C76,BV_Data_An_Cour!$W:$W,L$2)</f>
        <v>0</v>
      </c>
      <c r="M76" s="223"/>
      <c r="N76" s="225">
        <f t="shared" si="20"/>
        <v>0</v>
      </c>
      <c r="O76" s="223"/>
      <c r="P76" s="178"/>
      <c r="Q76" s="473" cm="1">
        <f t="array" ref="Q76">+SUMPRODUCT(('Réel 2024'!$A$8:$A$501=$A76)*('Réel 2024'!$C$3:$AO$3=Q$2),'Réel 2024'!$C$8:$AO$501)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 cm="1">
        <f t="array" ref="F77">+SUMPRODUCT(('Budget original'!$A$8:$A$501=$A77)*('Budget original'!$C$3:$AO$3=F$2),'Budget original'!$C$8:$AO$501)</f>
        <v>0</v>
      </c>
      <c r="G77" s="269"/>
      <c r="H77" s="178"/>
      <c r="I77" s="179"/>
      <c r="J77" s="223"/>
      <c r="K77" s="178"/>
      <c r="L77" s="473">
        <f>-SUMIFS(BV_Data_An_Cour!$P:$P,BV_Data_An_Cour!$U:$U,$B77,BV_Data_An_Cour!$V:$V,$C77,BV_Data_An_Cour!$W:$W,L$2)</f>
        <v>0</v>
      </c>
      <c r="M77" s="223"/>
      <c r="N77" s="225">
        <f t="shared" si="20"/>
        <v>0</v>
      </c>
      <c r="O77" s="223"/>
      <c r="P77" s="178"/>
      <c r="Q77" s="473" cm="1">
        <f t="array" ref="Q77">+SUMPRODUCT(('Réel 2024'!$A$8:$A$501=$A77)*('Réel 2024'!$C$3:$AO$3=Q$2),'Réel 2024'!$C$8:$AO$501)</f>
        <v>0</v>
      </c>
      <c r="R77" s="223"/>
      <c r="S77" s="197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 cm="1">
        <f t="array" ref="F78">+SUMPRODUCT(('Budget original'!$A$8:$A$501=$A78)*('Budget original'!$C$3:$AO$3=F$2),'Budget original'!$C$8:$AO$501)</f>
        <v>470608.44</v>
      </c>
      <c r="G78" s="269"/>
      <c r="H78" s="178"/>
      <c r="I78" s="179"/>
      <c r="J78" s="223"/>
      <c r="K78" s="178"/>
      <c r="L78" s="180">
        <f>-SUMIFS(BV_Data_An_Cour!$P:$P,BV_Data_An_Cour!$U:$U,$B78,BV_Data_An_Cour!$V:$V,$C78,BV_Data_An_Cour!$W:$W,L$2)</f>
        <v>32718</v>
      </c>
      <c r="M78" s="223"/>
      <c r="N78" s="225">
        <f t="shared" si="20"/>
        <v>-437890.44</v>
      </c>
      <c r="O78" s="223"/>
      <c r="P78" s="178"/>
      <c r="Q78" s="473" cm="1">
        <f t="array" ref="Q78">+SUMPRODUCT(('Réel 2024'!$A$8:$A$501=$A78)*('Réel 2024'!$C$3:$AO$3=Q$2),'Réel 2024'!$C$8:$AO$501)</f>
        <v>480905.59999999992</v>
      </c>
      <c r="R78" s="223"/>
      <c r="S78" s="197">
        <f t="shared" si="21"/>
        <v>-448187.59999999992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 cm="1">
        <f t="array" ref="F79">+SUMPRODUCT(('Budget original'!$A$8:$A$501=$A79)*('Budget original'!$C$3:$AO$3=F$2),'Budget original'!$C$8:$AO$501)</f>
        <v>0</v>
      </c>
      <c r="G79" s="269"/>
      <c r="H79" s="178"/>
      <c r="I79" s="179"/>
      <c r="J79" s="223"/>
      <c r="K79" s="178"/>
      <c r="L79" s="180">
        <f>-SUMIFS(BV_Data_An_Cour!$P:$P,BV_Data_An_Cour!$U:$U,$B79,BV_Data_An_Cour!$V:$V,$C79,BV_Data_An_Cour!$W:$W,L$2)</f>
        <v>0</v>
      </c>
      <c r="M79" s="223"/>
      <c r="N79" s="225">
        <f t="shared" si="20"/>
        <v>0</v>
      </c>
      <c r="O79" s="223"/>
      <c r="P79" s="178"/>
      <c r="Q79" s="473" cm="1">
        <f t="array" ref="Q79">+SUMPRODUCT(('Réel 2024'!$A$8:$A$501=$A79)*('Réel 2024'!$C$3:$AO$3=Q$2),'Réel 2024'!$C$8:$AO$501)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 cm="1">
        <f t="array" ref="F80">+SUMPRODUCT(('Budget original'!$A$8:$A$501=$A80)*('Budget original'!$C$3:$AO$3=F$2),'Budget original'!$C$8:$AO$501)</f>
        <v>0</v>
      </c>
      <c r="G80" s="269"/>
      <c r="H80" s="178"/>
      <c r="I80" s="179"/>
      <c r="J80" s="223"/>
      <c r="K80" s="178"/>
      <c r="L80" s="180">
        <f>-SUMIFS(BV_Data_An_Cour!$P:$P,BV_Data_An_Cour!$U:$U,$B80,BV_Data_An_Cour!$V:$V,$C80,BV_Data_An_Cour!$W:$W,L$2)</f>
        <v>0</v>
      </c>
      <c r="M80" s="223"/>
      <c r="N80" s="225">
        <f t="shared" si="20"/>
        <v>0</v>
      </c>
      <c r="O80" s="223"/>
      <c r="P80" s="178"/>
      <c r="Q80" s="473" cm="1">
        <f t="array" ref="Q80">+SUMPRODUCT(('Réel 2024'!$A$8:$A$501=$A80)*('Réel 2024'!$C$3:$AO$3=Q$2),'Réel 2024'!$C$8:$AO$501)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 cm="1">
        <f t="array" ref="F81">+SUMPRODUCT(('Budget original'!$A$8:$A$501=$A81)*('Budget original'!$C$3:$AO$3=F$2),'Budget original'!$C$8:$AO$501)</f>
        <v>0</v>
      </c>
      <c r="G81" s="269"/>
      <c r="H81" s="178"/>
      <c r="I81" s="179"/>
      <c r="J81" s="223"/>
      <c r="K81" s="178"/>
      <c r="L81" s="180">
        <f>-SUMIFS(BV_Data_An_Cour!$P:$P,BV_Data_An_Cour!$U:$U,$B81,BV_Data_An_Cour!$V:$V,$C81,BV_Data_An_Cour!$W:$W,L$2)</f>
        <v>0</v>
      </c>
      <c r="M81" s="223"/>
      <c r="N81" s="225">
        <f t="shared" si="20"/>
        <v>0</v>
      </c>
      <c r="O81" s="223"/>
      <c r="P81" s="178"/>
      <c r="Q81" s="473" cm="1">
        <f t="array" ref="Q81">+SUMPRODUCT(('Réel 2024'!$A$8:$A$501=$A81)*('Réel 2024'!$C$3:$AO$3=Q$2),'Réel 2024'!$C$8:$AO$501)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 cm="1">
        <f t="array" ref="F82">+SUMPRODUCT(('Budget original'!$A$8:$A$501=$A82)*('Budget original'!$C$3:$AO$3=F$2),'Budget original'!$C$8:$AO$501)</f>
        <v>159412.4</v>
      </c>
      <c r="G82" s="269"/>
      <c r="H82" s="178"/>
      <c r="I82" s="179"/>
      <c r="J82" s="223"/>
      <c r="K82" s="178"/>
      <c r="L82" s="473">
        <f>-SUMIFS(BV_Data_An_Cour!$P:$P,BV_Data_An_Cour!$U:$U,$B82,BV_Data_An_Cour!$V:$V,$C82,BV_Data_An_Cour!$W:$W,L$2)</f>
        <v>4165</v>
      </c>
      <c r="M82" s="223"/>
      <c r="N82" s="225">
        <f t="shared" si="20"/>
        <v>-155247.4</v>
      </c>
      <c r="O82" s="223"/>
      <c r="P82" s="178"/>
      <c r="Q82" s="473" cm="1">
        <f t="array" ref="Q82">+SUMPRODUCT(('Réel 2024'!$A$8:$A$501=$A82)*('Réel 2024'!$C$3:$AO$3=Q$2),'Réel 2024'!$C$8:$AO$501)</f>
        <v>157675</v>
      </c>
      <c r="R82" s="223"/>
      <c r="S82" s="197">
        <f t="shared" si="21"/>
        <v>-153510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1065333.6469999999</v>
      </c>
      <c r="G83" s="42"/>
      <c r="H83" s="40"/>
      <c r="I83" s="41"/>
      <c r="J83" s="42"/>
      <c r="K83" s="40"/>
      <c r="L83" s="41">
        <f>+SUM(L75:L82)</f>
        <v>57481</v>
      </c>
      <c r="M83" s="44"/>
      <c r="N83" s="41">
        <f>+SUM(N75:N82)</f>
        <v>-1007852.647</v>
      </c>
      <c r="O83" s="42"/>
      <c r="P83" s="40"/>
      <c r="Q83" s="41">
        <f>+SUM(Q75:Q82)</f>
        <v>1051870.33</v>
      </c>
      <c r="R83" s="44"/>
      <c r="S83" s="285">
        <f>+SUM(S75:S82)</f>
        <v>-994389.33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827006.47996885958</v>
      </c>
      <c r="G85" s="379"/>
      <c r="H85" s="309"/>
      <c r="I85" s="306"/>
      <c r="J85" s="379"/>
      <c r="K85" s="305"/>
      <c r="L85" s="306">
        <f>L27-L74+L83</f>
        <v>12390.480000000018</v>
      </c>
      <c r="M85" s="379"/>
      <c r="N85" s="306">
        <f>N27-N74+N83</f>
        <v>-814615.99996885972</v>
      </c>
      <c r="O85" s="379"/>
      <c r="P85" s="305"/>
      <c r="Q85" s="306">
        <f>Q27-Q74+Q83</f>
        <v>810460.679999999</v>
      </c>
      <c r="R85" s="379"/>
      <c r="S85" s="310">
        <f>S27-S74+S83</f>
        <v>-798070.19999999891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79" t="s">
        <v>77</v>
      </c>
      <c r="E91" s="1280"/>
      <c r="F91" s="1281"/>
      <c r="G91" s="1284"/>
      <c r="H91" s="1280"/>
      <c r="I91" s="1281"/>
      <c r="J91" s="1284" t="s">
        <v>78</v>
      </c>
      <c r="K91" s="1280"/>
      <c r="L91" s="1281"/>
      <c r="M91" s="1284" t="s">
        <v>2442</v>
      </c>
      <c r="N91" s="1281"/>
      <c r="O91" s="1279" t="s">
        <v>79</v>
      </c>
      <c r="P91" s="1280"/>
      <c r="Q91" s="1281"/>
      <c r="R91" s="1282" t="s">
        <v>2446</v>
      </c>
      <c r="S91" s="1283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4" t="s">
        <v>85</v>
      </c>
      <c r="D93" s="184"/>
      <c r="E93" s="184"/>
      <c r="F93" s="177" cm="1">
        <f t="array" ref="F93">+SUMPRODUCT(('Budget original'!$A$8:$A$501=$A93)*('Budget original'!$C$3:$AO$3=F$2),'Budget original'!$C$8:$AO$501)</f>
        <v>17054705.882352937</v>
      </c>
      <c r="G93" s="183"/>
      <c r="H93" s="184"/>
      <c r="I93" s="177"/>
      <c r="J93" s="278"/>
      <c r="K93" s="184"/>
      <c r="L93" s="177">
        <f>-SUMIFS(BV_Data_An_Cour!$P:$P,BV_Data_An_Cour!$X:$X,"Oui",BV_Data_An_Cour!$U:$U,$B93)</f>
        <v>324028.27999999997</v>
      </c>
      <c r="M93" s="341"/>
      <c r="N93" s="342"/>
      <c r="O93" s="278"/>
      <c r="P93" s="184"/>
      <c r="Q93" s="177" cm="1">
        <f t="array" ref="Q93">+SUMPRODUCT(('Réel 2024'!$A$8:$A$501=$A93)*('Réel 2024'!$C$3:$AO$3=Q$2),'Réel 2024'!$C$8:$AO$501)</f>
        <v>16016262.389999967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1" t="s">
        <v>141</v>
      </c>
      <c r="D94" s="179" cm="1">
        <f t="array" ref="D94">+SUMPRODUCT(('Budget original'!$A$8:$A$501=$A94)*('Budget original'!$C$3:$AO$3=D$2),'Budget original'!$C$8:$AO$501)</f>
        <v>75</v>
      </c>
      <c r="E94" s="179">
        <f t="shared" ref="E94:E100" si="23">IF(D94=0,0,F94/D94)</f>
        <v>2300</v>
      </c>
      <c r="F94" s="179" cm="1">
        <f t="array" ref="F94">+SUMPRODUCT(('Budget original'!$A$8:$A$501=$A94)*('Budget original'!$C$3:$AO$3=F$2),'Budget original'!$C$8:$AO$501)</f>
        <v>172500</v>
      </c>
      <c r="G94" s="182"/>
      <c r="H94" s="179"/>
      <c r="I94" s="179"/>
      <c r="J94" s="182">
        <f>-SUMIFS(BV_Data_An_Cour!$P:$P,BV_Data_An_Cour!$U:$U,$B94,BV_Data_An_Cour!$V:$V,$C94,BV_Data_An_Cour!$W:$W,J$2)</f>
        <v>3</v>
      </c>
      <c r="K94" s="179">
        <f>IF(J94=0,0,L94/J94)</f>
        <v>1877.2533333333324</v>
      </c>
      <c r="L94" s="180">
        <f>-SUMIFS(BV_Data_An_Cour!$P:$P,BV_Data_An_Cour!$U:$U,$B94,BV_Data_An_Cour!$V:$V,$C94,BV_Data_An_Cour!$W:$W,$L2)</f>
        <v>5631.7599999999975</v>
      </c>
      <c r="M94" s="182">
        <f>J94-D94</f>
        <v>-72</v>
      </c>
      <c r="N94" s="180">
        <f>L94-F94</f>
        <v>-166868.24</v>
      </c>
      <c r="O94" s="182" cm="1">
        <f t="array" ref="O94">+SUMPRODUCT(('Réel 2024'!$A$8:$A$501=$A94)*('Réel 2024'!$C$3:$AO$3=O$2),'Réel 2024'!$C$8:$AO$501)</f>
        <v>62</v>
      </c>
      <c r="P94" s="179">
        <f t="shared" ref="P94:P100" si="24">IF(O94=0,0,Q94/O94)</f>
        <v>2319.7799999999957</v>
      </c>
      <c r="Q94" s="180" cm="1">
        <f t="array" ref="Q94">+SUMPRODUCT(('Réel 2024'!$A$8:$A$501=$A94)*('Réel 2024'!$C$3:$AO$3=Q$2),'Réel 2024'!$C$8:$AO$501)</f>
        <v>143826.35999999972</v>
      </c>
      <c r="R94" s="182">
        <f>J94-O94</f>
        <v>-59</v>
      </c>
      <c r="S94" s="345">
        <f>L94-Q94</f>
        <v>-138194.59999999971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1" t="s">
        <v>142</v>
      </c>
      <c r="D95" s="179" cm="1">
        <f t="array" ref="D95">+SUMPRODUCT(('Budget original'!$A$8:$A$501=$A95)*('Budget original'!$C$3:$AO$3=D$2),'Budget original'!$C$8:$AO$501)</f>
        <v>75</v>
      </c>
      <c r="E95" s="179">
        <f t="shared" si="23"/>
        <v>1600</v>
      </c>
      <c r="F95" s="179" cm="1">
        <f t="array" ref="F95">+SUMPRODUCT(('Budget original'!$A$8:$A$501=$A95)*('Budget original'!$C$3:$AO$3=F$2),'Budget original'!$C$8:$AO$501)</f>
        <v>120000</v>
      </c>
      <c r="G95" s="182"/>
      <c r="H95" s="179"/>
      <c r="I95" s="179"/>
      <c r="J95" s="182">
        <f>-SUMIFS(BV_Data_An_Cour!$P:$P,BV_Data_An_Cour!$U:$U,$B95,BV_Data_An_Cour!$V:$V,$C95,BV_Data_An_Cour!$W:$W,J$2)</f>
        <v>2</v>
      </c>
      <c r="K95" s="179">
        <f>IF(J95=0,0,L95/J95)</f>
        <v>968.67500000000325</v>
      </c>
      <c r="L95" s="473">
        <f>-SUMIFS(BV_Data_An_Cour!$P:$P,BV_Data_An_Cour!$U:$U,$B95,BV_Data_An_Cour!$V:$V,$C95,BV_Data_An_Cour!$W:$W,$L2)</f>
        <v>1937.3500000000065</v>
      </c>
      <c r="M95" s="182">
        <f>J95-D95</f>
        <v>-73</v>
      </c>
      <c r="N95" s="180">
        <f>L95-F95</f>
        <v>-118062.65</v>
      </c>
      <c r="O95" s="182" cm="1">
        <f t="array" ref="O95">+SUMPRODUCT(('Réel 2024'!$A$8:$A$501=$A95)*('Réel 2024'!$C$3:$AO$3=O$2),'Réel 2024'!$C$8:$AO$501)</f>
        <v>73</v>
      </c>
      <c r="P95" s="179">
        <f t="shared" si="24"/>
        <v>1814.3649315068471</v>
      </c>
      <c r="Q95" s="473" cm="1">
        <f t="array" ref="Q95">+SUMPRODUCT(('Réel 2024'!$A$8:$A$501=$A95)*('Réel 2024'!$C$3:$AO$3=Q$2),'Réel 2024'!$C$8:$AO$501)</f>
        <v>132448.63999999984</v>
      </c>
      <c r="R95" s="182">
        <f t="shared" ref="R95:R96" si="25">J95-O95</f>
        <v>-71</v>
      </c>
      <c r="S95" s="345">
        <f t="shared" ref="S95:S96" si="26">L95-Q95</f>
        <v>-130511.28999999983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7">+B96&amp;C96</f>
        <v>Véhicules usagésAutres marques</v>
      </c>
      <c r="B96" s="24" t="s">
        <v>140</v>
      </c>
      <c r="C96" s="251" t="s">
        <v>2811</v>
      </c>
      <c r="D96" s="179" cm="1">
        <f t="array" ref="D96">+SUMPRODUCT(('Budget original'!$A$8:$A$501=$A96)*('Budget original'!$C$3:$AO$3=D$2),'Budget original'!$C$8:$AO$501)</f>
        <v>75</v>
      </c>
      <c r="E96" s="184">
        <f t="shared" si="23"/>
        <v>1500</v>
      </c>
      <c r="F96" s="179" cm="1">
        <f t="array" ref="F96">+SUMPRODUCT(('Budget original'!$A$8:$A$501=$A96)*('Budget original'!$C$3:$AO$3=F$2),'Budget original'!$C$8:$AO$501)</f>
        <v>112500</v>
      </c>
      <c r="G96" s="182"/>
      <c r="H96" s="179"/>
      <c r="I96" s="179"/>
      <c r="J96" s="182">
        <f>-SUMIFS(BV_Data_An_Cour!$P:$P,BV_Data_An_Cour!$U:$U,$B96,BV_Data_An_Cour!$V:$V,$C96,BV_Data_An_Cour!$W:$W,J$2)</f>
        <v>0</v>
      </c>
      <c r="K96" s="179">
        <f>IF(J96=0,0,L96/J96)</f>
        <v>0</v>
      </c>
      <c r="L96" s="473">
        <f>-SUMIFS(BV_Data_An_Cour!$P:$P,BV_Data_An_Cour!$U:$U,$B96,BV_Data_An_Cour!$V:$V,$C96,BV_Data_An_Cour!$W:$W,$L2)</f>
        <v>0</v>
      </c>
      <c r="M96" s="182">
        <f>J96-D96</f>
        <v>-75</v>
      </c>
      <c r="N96" s="180">
        <f>L96-F96</f>
        <v>-112500</v>
      </c>
      <c r="O96" s="182" cm="1">
        <f t="array" ref="O96">+SUMPRODUCT(('Réel 2024'!$A$8:$A$501=$A96)*('Réel 2024'!$C$3:$AO$3=O$2),'Réel 2024'!$C$8:$AO$501)</f>
        <v>63</v>
      </c>
      <c r="P96" s="179">
        <f t="shared" si="24"/>
        <v>1119.7820634920615</v>
      </c>
      <c r="Q96" s="473" cm="1">
        <f t="array" ref="Q96">+SUMPRODUCT(('Réel 2024'!$A$8:$A$501=$A96)*('Réel 2024'!$C$3:$AO$3=Q$2),'Réel 2024'!$C$8:$AO$501)</f>
        <v>70546.269999999873</v>
      </c>
      <c r="R96" s="182">
        <f t="shared" si="25"/>
        <v>-63</v>
      </c>
      <c r="S96" s="345">
        <f t="shared" si="26"/>
        <v>-70546.269999999873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37" t="s">
        <v>143</v>
      </c>
      <c r="D97" s="346">
        <f>+D95+D94+D96</f>
        <v>225</v>
      </c>
      <c r="E97" s="179">
        <f t="shared" si="23"/>
        <v>1800</v>
      </c>
      <c r="F97" s="347">
        <f>+F94+F95+F96</f>
        <v>405000</v>
      </c>
      <c r="G97" s="348"/>
      <c r="H97" s="346"/>
      <c r="I97" s="347"/>
      <c r="J97" s="348">
        <f>+J94+J95+J96</f>
        <v>5</v>
      </c>
      <c r="K97" s="346">
        <f>IF(J97&lt;=0,0,L97/J97)</f>
        <v>1513.8220000000008</v>
      </c>
      <c r="L97" s="347">
        <f>+L94+L95+L96</f>
        <v>7569.1100000000042</v>
      </c>
      <c r="M97" s="348">
        <f>J97-D97</f>
        <v>-220</v>
      </c>
      <c r="N97" s="347">
        <f>L97-F97</f>
        <v>-397430.89</v>
      </c>
      <c r="O97" s="348">
        <f>+O95+O94+O96</f>
        <v>198</v>
      </c>
      <c r="P97" s="346">
        <f t="shared" si="24"/>
        <v>1751.6225757575728</v>
      </c>
      <c r="Q97" s="347">
        <f>+Q94+Q95+Q96</f>
        <v>346821.26999999944</v>
      </c>
      <c r="R97" s="348">
        <f>J97-O97</f>
        <v>-193</v>
      </c>
      <c r="S97" s="349">
        <f>L97-Q97</f>
        <v>-339252.15999999945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-0.97777777777777775</v>
      </c>
      <c r="N98" s="234">
        <f>N97/F97</f>
        <v>-0.98131083950617293</v>
      </c>
      <c r="O98" s="223"/>
      <c r="P98" s="178"/>
      <c r="Q98" s="265"/>
      <c r="R98" s="235">
        <f>R97/O97</f>
        <v>-0.9747474747474747</v>
      </c>
      <c r="S98" s="262">
        <f>IF(Q97=0,0,(S97/Q97))</f>
        <v>-0.97817576182683375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1" t="s">
        <v>144</v>
      </c>
      <c r="D100" s="179" cm="1">
        <f t="array" ref="D100">+SUMPRODUCT(('Budget original'!$A$8:$A$501=$A100)*('Budget original'!$C$3:$AO$3=D$2),'Budget original'!$C$8:$AO$501)</f>
        <v>220</v>
      </c>
      <c r="E100" s="179">
        <f t="shared" si="23"/>
        <v>350</v>
      </c>
      <c r="F100" s="179" cm="1">
        <f t="array" ref="F100">+SUMPRODUCT(('Budget original'!$A$8:$A$501=$A100)*('Budget original'!$C$3:$AO$3=F$2),'Budget original'!$C$8:$AO$501)</f>
        <v>77000</v>
      </c>
      <c r="G100" s="182"/>
      <c r="H100" s="179"/>
      <c r="I100" s="179"/>
      <c r="J100" s="182">
        <f>-SUMIFS(BV_Data_An_Cour!$P:$P,BV_Data_An_Cour!$U:$U,$B100,BV_Data_An_Cour!$V:$V,$C100,BV_Data_An_Cour!$W:$W,J$2)</f>
        <v>2</v>
      </c>
      <c r="K100" s="179">
        <f>IF(J100=0,0,L100/J100)</f>
        <v>788.04999999999927</v>
      </c>
      <c r="L100" s="180">
        <f>-SUMIFS(BV_Data_An_Cour!$P:$P,BV_Data_An_Cour!$U:$U,$B100,BV_Data_An_Cour!$V:$V,$C100,BV_Data_An_Cour!$W:$W,L$2)</f>
        <v>1576.0999999999985</v>
      </c>
      <c r="M100" s="182">
        <f>J100-D100</f>
        <v>-218</v>
      </c>
      <c r="N100" s="180">
        <f>L100-F100</f>
        <v>-75423.899999999994</v>
      </c>
      <c r="O100" s="182" cm="1">
        <f t="array" ref="O100">+SUMPRODUCT(('Réel 2024'!$A$8:$A$501=$A100)*('Réel 2024'!$C$3:$AO$3=O$2),'Réel 2024'!$C$8:$AO$501)</f>
        <v>230</v>
      </c>
      <c r="P100" s="179">
        <f t="shared" si="24"/>
        <v>434.93060869565113</v>
      </c>
      <c r="Q100" s="180" cm="1">
        <f t="array" ref="Q100">+SUMPRODUCT(('Réel 2024'!$A$8:$A$501=$A100)*('Réel 2024'!$C$3:$AO$3=Q$2),'Réel 2024'!$C$8:$AO$501)</f>
        <v>100034.03999999976</v>
      </c>
      <c r="R100" s="182">
        <f>J100-O100</f>
        <v>-228</v>
      </c>
      <c r="S100" s="345">
        <f>L100-Q100</f>
        <v>-98457.939999999769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1" t="s">
        <v>94</v>
      </c>
      <c r="D102" s="179" cm="1">
        <f t="array" ref="D102">+SUMPRODUCT(('Budget original'!$A$8:$A$501=$A102)*('Budget original'!$C$3:$AO$3=D$2),'Budget original'!$C$8:$AO$501)</f>
        <v>0</v>
      </c>
      <c r="E102" s="179">
        <f t="shared" ref="E102:E105" si="28">IF(D102=0,0,F102/D102)</f>
        <v>0</v>
      </c>
      <c r="F102" s="180" cm="1">
        <f t="array" ref="F102">+SUMPRODUCT(('Budget original'!$A$8:$A$501=$A102)*('Budget original'!$C$3:$AO$3=F$2),'Budget original'!$C$8:$AO$501)</f>
        <v>85500</v>
      </c>
      <c r="G102" s="182"/>
      <c r="H102" s="179"/>
      <c r="I102" s="179"/>
      <c r="J102" s="182"/>
      <c r="K102" s="179">
        <f>IF(J97=0,0,L102/J97)</f>
        <v>648.38600000000008</v>
      </c>
      <c r="L102" s="180">
        <f>-SUMIFS(BV_Data_An_Cour!$P:$P,BV_Data_An_Cour!$U:$U,$B102,BV_Data_An_Cour!$V:$V,$C102,BV_Data_An_Cour!$W:$W,$L2)</f>
        <v>3241.9300000000003</v>
      </c>
      <c r="M102" s="182"/>
      <c r="N102" s="180">
        <f>L102-F102</f>
        <v>-82258.070000000007</v>
      </c>
      <c r="O102" s="182" cm="1">
        <f t="array" ref="O102">+SUMPRODUCT(('Réel 2024'!$A$8:$A$501=$A102)*('Réel 2024'!$C$3:$AO$3=O$2),'Réel 2024'!$C$8:$AO$501)</f>
        <v>0</v>
      </c>
      <c r="P102" s="179">
        <f t="shared" ref="P102:P105" si="29">IF(O102=0,0,Q102/O102)</f>
        <v>0</v>
      </c>
      <c r="Q102" s="180" cm="1">
        <f t="array" ref="Q102">+SUMPRODUCT(('Réel 2024'!$A$8:$A$501=$A102)*('Réel 2024'!$C$3:$AO$3=Q$2),'Réel 2024'!$C$8:$AO$501)</f>
        <v>71393.319999999978</v>
      </c>
      <c r="R102" s="182">
        <f>O102-K102</f>
        <v>-648.38600000000008</v>
      </c>
      <c r="S102" s="345">
        <f>L102-Q102</f>
        <v>-68151.389999999985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1" t="s">
        <v>95</v>
      </c>
      <c r="D103" s="179" cm="1">
        <f t="array" ref="D103">+SUMPRODUCT(('Budget original'!$A$8:$A$501=$A103)*('Budget original'!$C$3:$AO$3=D$2),'Budget original'!$C$8:$AO$501)</f>
        <v>0</v>
      </c>
      <c r="E103" s="179">
        <f t="shared" si="28"/>
        <v>0</v>
      </c>
      <c r="F103" s="180" cm="1">
        <f t="array" ref="F103">+SUMPRODUCT(('Budget original'!$A$8:$A$501=$A103)*('Budget original'!$C$3:$AO$3=F$2),'Budget original'!$C$8:$AO$501)</f>
        <v>191250</v>
      </c>
      <c r="G103" s="182"/>
      <c r="H103" s="179"/>
      <c r="I103" s="179"/>
      <c r="J103" s="182"/>
      <c r="K103" s="179">
        <f>IF(J97=0,0,L103/J97)</f>
        <v>2259.6</v>
      </c>
      <c r="L103" s="180">
        <f>-SUMIFS(BV_Data_An_Cour!$P:$P,BV_Data_An_Cour!$U:$U,$B103,BV_Data_An_Cour!$V:$V,$C103,BV_Data_An_Cour!$W:$W,$L2)</f>
        <v>11298</v>
      </c>
      <c r="M103" s="182"/>
      <c r="N103" s="180">
        <f>L103-F103</f>
        <v>-179952</v>
      </c>
      <c r="O103" s="182" cm="1">
        <f t="array" ref="O103">+SUMPRODUCT(('Réel 2024'!$A$8:$A$501=$A103)*('Réel 2024'!$C$3:$AO$3=O$2),'Réel 2024'!$C$8:$AO$501)</f>
        <v>0</v>
      </c>
      <c r="P103" s="179">
        <f t="shared" si="29"/>
        <v>0</v>
      </c>
      <c r="Q103" s="180" cm="1">
        <f t="array" ref="Q103">+SUMPRODUCT(('Réel 2024'!$A$8:$A$501=$A103)*('Réel 2024'!$C$3:$AO$3=Q$2),'Réel 2024'!$C$8:$AO$501)</f>
        <v>163941.68999999989</v>
      </c>
      <c r="R103" s="182">
        <f>O103-K103</f>
        <v>-2259.6</v>
      </c>
      <c r="S103" s="345">
        <f>L103-Q103</f>
        <v>-152643.68999999989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1" t="s">
        <v>96</v>
      </c>
      <c r="D104" s="179" cm="1">
        <f t="array" ref="D104">+SUMPRODUCT(('Budget original'!$A$8:$A$501=$A104)*('Budget original'!$C$3:$AO$3=D$2),'Budget original'!$C$8:$AO$501)</f>
        <v>0</v>
      </c>
      <c r="E104" s="184">
        <f t="shared" si="28"/>
        <v>0</v>
      </c>
      <c r="F104" s="180" cm="1">
        <f t="array" ref="F104">+SUMPRODUCT(('Budget original'!$A$8:$A$501=$A104)*('Budget original'!$C$3:$AO$3=F$2),'Budget original'!$C$8:$AO$501)</f>
        <v>49500</v>
      </c>
      <c r="G104" s="182"/>
      <c r="H104" s="352"/>
      <c r="I104" s="179"/>
      <c r="J104" s="182"/>
      <c r="K104" s="352">
        <f>IF(J97=0,0,L104/J97)</f>
        <v>387.6</v>
      </c>
      <c r="L104" s="180">
        <f>-SUMIFS(BV_Data_An_Cour!$P:$P,BV_Data_An_Cour!$U:$U,$B104,BV_Data_An_Cour!$V:$V,$C104,BV_Data_An_Cour!$W:$W,$L$2)</f>
        <v>1938</v>
      </c>
      <c r="M104" s="351"/>
      <c r="N104" s="180">
        <f>L104-F104</f>
        <v>-47562</v>
      </c>
      <c r="O104" s="182" cm="1">
        <f t="array" ref="O104">+SUMPRODUCT(('Réel 2024'!$A$8:$A$501=$A104)*('Réel 2024'!$C$3:$AO$3=O$2),'Réel 2024'!$C$8:$AO$501)</f>
        <v>63</v>
      </c>
      <c r="P104" s="352">
        <f t="shared" si="29"/>
        <v>509.69904761904746</v>
      </c>
      <c r="Q104" s="180" cm="1">
        <f t="array" ref="Q104">+SUMPRODUCT(('Réel 2024'!$A$8:$A$501=$A104)*('Réel 2024'!$C$3:$AO$3=Q$2),'Réel 2024'!$C$8:$AO$501)</f>
        <v>32111.03999999999</v>
      </c>
      <c r="R104" s="182">
        <f>O104-K104</f>
        <v>-324.60000000000002</v>
      </c>
      <c r="S104" s="345">
        <f>L104-Q104</f>
        <v>-30173.03999999999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37" t="s">
        <v>97</v>
      </c>
      <c r="D105" s="346">
        <f>D97</f>
        <v>225</v>
      </c>
      <c r="E105" s="179">
        <f t="shared" si="28"/>
        <v>1450</v>
      </c>
      <c r="F105" s="347">
        <f>F102+F103+F104</f>
        <v>326250</v>
      </c>
      <c r="G105" s="348"/>
      <c r="H105" s="346"/>
      <c r="I105" s="347"/>
      <c r="J105" s="348">
        <f>J97</f>
        <v>5</v>
      </c>
      <c r="K105" s="346">
        <f>IF(J105&lt;=0,0,L105/J105)</f>
        <v>3295.5860000000002</v>
      </c>
      <c r="L105" s="347">
        <f>L102+L103+L104</f>
        <v>16477.93</v>
      </c>
      <c r="M105" s="182">
        <f>J105-D105</f>
        <v>-220</v>
      </c>
      <c r="N105" s="347">
        <f>L105-F105</f>
        <v>-309772.07</v>
      </c>
      <c r="O105" s="348">
        <f>O97</f>
        <v>198</v>
      </c>
      <c r="P105" s="346">
        <f t="shared" si="29"/>
        <v>1350.7376262626256</v>
      </c>
      <c r="Q105" s="347">
        <f>Q102+Q103+Q104</f>
        <v>267446.04999999987</v>
      </c>
      <c r="R105" s="356"/>
      <c r="S105" s="349">
        <f>L105-Q105</f>
        <v>-250968.11999999988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-0.94949293486590036</v>
      </c>
      <c r="O106" s="223"/>
      <c r="P106" s="178"/>
      <c r="Q106" s="225"/>
      <c r="R106" s="224"/>
      <c r="S106" s="262">
        <f>IF(Q105=0,0,(S105/Q105))</f>
        <v>-0.93838783560273187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56" t="s">
        <v>145</v>
      </c>
      <c r="D108" s="26">
        <f>D97+D100</f>
        <v>445</v>
      </c>
      <c r="E108" s="30">
        <f>IF(D108&lt;=0,0,F108/D108)</f>
        <v>1816.2921348314608</v>
      </c>
      <c r="F108" s="28">
        <f>F97+F105+F100</f>
        <v>808250</v>
      </c>
      <c r="G108" s="29"/>
      <c r="H108" s="30"/>
      <c r="I108" s="28"/>
      <c r="J108" s="29">
        <f>J97+J100</f>
        <v>7</v>
      </c>
      <c r="K108" s="30">
        <f>IF(J108&lt;=0,0,L108/J108)</f>
        <v>3660.448571428572</v>
      </c>
      <c r="L108" s="28">
        <f>L97+L105+L100</f>
        <v>25623.140000000003</v>
      </c>
      <c r="M108" s="29">
        <f>J108-D108</f>
        <v>-438</v>
      </c>
      <c r="N108" s="28">
        <f>L108-F108</f>
        <v>-782626.86</v>
      </c>
      <c r="O108" s="29">
        <f>O97+O100</f>
        <v>428</v>
      </c>
      <c r="P108" s="30">
        <f>IF(O108&lt;=0,0,Q108/O108)</f>
        <v>1668.9284112149514</v>
      </c>
      <c r="Q108" s="28">
        <f>Q97+Q105+Q100</f>
        <v>714301.35999999917</v>
      </c>
      <c r="R108" s="29">
        <f>J108-O108</f>
        <v>-421</v>
      </c>
      <c r="S108" s="321">
        <f>L108-Q108</f>
        <v>-688678.21999999916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-0.98426966292134832</v>
      </c>
      <c r="N109" s="34">
        <f>N108/F108</f>
        <v>-0.96829800185586146</v>
      </c>
      <c r="O109" s="31"/>
      <c r="P109" s="323"/>
      <c r="Q109" s="32"/>
      <c r="R109" s="33">
        <f>O108/R108</f>
        <v>-1.0166270783847982</v>
      </c>
      <c r="S109" s="357">
        <f>IF(Q108=0,0,(S108/Q108))</f>
        <v>-0.9641283897317513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1" t="s">
        <v>100</v>
      </c>
      <c r="D112" s="208">
        <f>F112/F97</f>
        <v>0.34493827160493828</v>
      </c>
      <c r="E112" s="195">
        <f t="shared" ref="E112:E121" si="30">F112/D$97</f>
        <v>620.88888888888891</v>
      </c>
      <c r="F112" s="179" cm="1">
        <f t="array" ref="F112">+SUMPRODUCT(('Budget original'!$A$8:$A$501=$A112)*('Budget original'!$C$3:$AO$3=F$2),'Budget original'!$C$8:$AO$501)</f>
        <v>139700</v>
      </c>
      <c r="G112" s="293"/>
      <c r="H112" s="195"/>
      <c r="I112" s="179"/>
      <c r="J112" s="293">
        <f>L112/L97</f>
        <v>0.5259667252821002</v>
      </c>
      <c r="K112" s="195">
        <f>IF($J$97=0,0,L112/(J$94+J$95+J96))</f>
        <v>796.22</v>
      </c>
      <c r="L112" s="180">
        <f>SUMIFS(BV_Data_An_Cour!$P:$P,BV_Data_An_Cour!$U:$U,$B112,BV_Data_An_Cour!$V:$V,$C112,BV_Data_An_Cour!$W:$W,$L$2)</f>
        <v>3981.1</v>
      </c>
      <c r="M112" s="223"/>
      <c r="N112" s="225">
        <f t="shared" ref="N112:N153" si="31">L112-F112</f>
        <v>-135718.9</v>
      </c>
      <c r="O112" s="293">
        <f>Q112/Q97</f>
        <v>0.37196259618102495</v>
      </c>
      <c r="P112" s="195">
        <f t="shared" ref="P112:P121" si="32">Q112/O$97</f>
        <v>651.53808080808085</v>
      </c>
      <c r="Q112" s="180" cm="1">
        <f t="array" ref="Q112">+SUMPRODUCT(('Réel 2024'!$A$8:$A$501=$A112)*('Réel 2024'!$C$3:$AO$3=Q$2),'Réel 2024'!$C$8:$AO$501)</f>
        <v>129004.54000000001</v>
      </c>
      <c r="R112" s="223"/>
      <c r="S112" s="197">
        <f t="shared" ref="S112:S122" si="33">L112-Q112</f>
        <v>-125023.44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4" t="s">
        <v>101</v>
      </c>
      <c r="D113" s="301">
        <f>F113/(F105+F19)</f>
        <v>0.25186331480545732</v>
      </c>
      <c r="E113" s="358">
        <f t="shared" si="30"/>
        <v>398.75</v>
      </c>
      <c r="F113" s="177" cm="1">
        <f t="array" ref="F113">+SUMPRODUCT(('Budget original'!$A$8:$A$501=$A113)*('Budget original'!$C$3:$AO$3=F$2),'Budget original'!$C$8:$AO$501)</f>
        <v>89718.75</v>
      </c>
      <c r="G113" s="320"/>
      <c r="H113" s="358"/>
      <c r="I113" s="177"/>
      <c r="J113" s="320">
        <f>L113/L105</f>
        <v>0.32313342756037922</v>
      </c>
      <c r="K113" s="358">
        <f>IF($J$97=0,0,L113/(J$94+J$95+J96))</f>
        <v>1064.914</v>
      </c>
      <c r="L113" s="180">
        <f>SUMIFS(BV_Data_An_Cour!$P:$P,BV_Data_An_Cour!$U:$U,$B113,BV_Data_An_Cour!$V:$V,$C113,BV_Data_An_Cour!$W:$W,$L$2)</f>
        <v>5324.57</v>
      </c>
      <c r="M113" s="278"/>
      <c r="N113" s="279">
        <f t="shared" si="31"/>
        <v>-84394.18</v>
      </c>
      <c r="O113" s="320">
        <f>Q113/(Q105+Q19)</f>
        <v>0.28197519793816289</v>
      </c>
      <c r="P113" s="358">
        <f t="shared" si="32"/>
        <v>446.0228282828283</v>
      </c>
      <c r="Q113" s="180" cm="1">
        <f t="array" ref="Q113">+SUMPRODUCT(('Réel 2024'!$A$8:$A$501=$A113)*('Réel 2024'!$C$3:$AO$3=Q$2),'Réel 2024'!$C$8:$AO$501)</f>
        <v>88312.52</v>
      </c>
      <c r="R113" s="278"/>
      <c r="S113" s="200">
        <f t="shared" si="33"/>
        <v>-82987.950000000012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1" t="s">
        <v>102</v>
      </c>
      <c r="D114" s="249"/>
      <c r="E114" s="195">
        <f t="shared" si="30"/>
        <v>90</v>
      </c>
      <c r="F114" s="179" cm="1">
        <f t="array" ref="F114">+SUMPRODUCT(('Budget original'!$A$8:$A$501=$A114)*('Budget original'!$C$3:$AO$3=F$2),'Budget original'!$C$8:$AO$501)</f>
        <v>20250</v>
      </c>
      <c r="G114" s="269"/>
      <c r="H114" s="195"/>
      <c r="I114" s="179"/>
      <c r="J114" s="223"/>
      <c r="K114" s="195">
        <f>IF($J$97=0,0,L114/(J$94+J$95+J96))</f>
        <v>94.311999999999998</v>
      </c>
      <c r="L114" s="181">
        <f>SUMIFS(BV_Data_An_Cour!$P:$P,BV_Data_An_Cour!$U:$U,$B114,BV_Data_An_Cour!$V:$V,$C114,BV_Data_An_Cour!$W:$W,$L$2)</f>
        <v>471.56</v>
      </c>
      <c r="M114" s="223"/>
      <c r="N114" s="225">
        <f t="shared" si="31"/>
        <v>-19778.439999999999</v>
      </c>
      <c r="O114" s="223"/>
      <c r="P114" s="195">
        <f t="shared" si="32"/>
        <v>91.162222222222212</v>
      </c>
      <c r="Q114" s="181" cm="1">
        <f t="array" ref="Q114">+SUMPRODUCT(('Réel 2024'!$A$8:$A$501=$A114)*('Réel 2024'!$C$3:$AO$3=Q$2),'Réel 2024'!$C$8:$AO$501)</f>
        <v>18050.12</v>
      </c>
      <c r="R114" s="223"/>
      <c r="S114" s="197">
        <f t="shared" si="33"/>
        <v>-17578.559999999998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1" t="s">
        <v>103</v>
      </c>
      <c r="D115" s="249"/>
      <c r="E115" s="195">
        <f t="shared" si="30"/>
        <v>94</v>
      </c>
      <c r="F115" s="179" cm="1">
        <f t="array" ref="F115">+SUMPRODUCT(('Budget original'!$A$8:$A$501=$A115)*('Budget original'!$C$3:$AO$3=F$2),'Budget original'!$C$8:$AO$501)</f>
        <v>21150</v>
      </c>
      <c r="G115" s="269"/>
      <c r="H115" s="195"/>
      <c r="I115" s="179"/>
      <c r="J115" s="223"/>
      <c r="K115" s="195">
        <f>IF($J$97=0,0,L115/(J$94+J$95+J96))</f>
        <v>38.4</v>
      </c>
      <c r="L115" s="180">
        <f>SUMIFS(BV_Data_An_Cour!$P:$P,BV_Data_An_Cour!$U:$U,$B115,BV_Data_An_Cour!$V:$V,$C115,BV_Data_An_Cour!$W:$W,$L$2)</f>
        <v>192</v>
      </c>
      <c r="M115" s="223"/>
      <c r="N115" s="225">
        <f t="shared" si="31"/>
        <v>-20958</v>
      </c>
      <c r="O115" s="223"/>
      <c r="P115" s="195">
        <f t="shared" si="32"/>
        <v>105.51030303030304</v>
      </c>
      <c r="Q115" s="180" cm="1">
        <f t="array" ref="Q115">+SUMPRODUCT(('Réel 2024'!$A$8:$A$501=$A115)*('Réel 2024'!$C$3:$AO$3=Q$2),'Réel 2024'!$C$8:$AO$501)</f>
        <v>20891.04</v>
      </c>
      <c r="R115" s="223"/>
      <c r="S115" s="197">
        <f t="shared" si="33"/>
        <v>-20699.04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4" t="s">
        <v>104</v>
      </c>
      <c r="D116" s="275"/>
      <c r="E116" s="358">
        <f t="shared" si="30"/>
        <v>100.66666666666667</v>
      </c>
      <c r="F116" s="177" cm="1">
        <f t="array" ref="F116">+SUMPRODUCT(('Budget original'!$A$8:$A$501=$A116)*('Budget original'!$C$3:$AO$3=F$2),'Budget original'!$C$8:$AO$501)</f>
        <v>22650</v>
      </c>
      <c r="G116" s="277"/>
      <c r="H116" s="358"/>
      <c r="I116" s="177"/>
      <c r="J116" s="278"/>
      <c r="K116" s="358">
        <f>IF($J$97=0,0,L116/(J$94+J$95+J96))</f>
        <v>406.464</v>
      </c>
      <c r="L116" s="350">
        <f>SUMIFS(BV_Data_An_Cour!$P:$P,BV_Data_An_Cour!$U:$U,$B116,BV_Data_An_Cour!$V:$V,$C116,BV_Data_An_Cour!$W:$W,$L$2)</f>
        <v>2032.32</v>
      </c>
      <c r="M116" s="278"/>
      <c r="N116" s="279">
        <f t="shared" si="31"/>
        <v>-20617.68</v>
      </c>
      <c r="O116" s="278"/>
      <c r="P116" s="358">
        <f t="shared" si="32"/>
        <v>107.49323232323232</v>
      </c>
      <c r="Q116" s="350" cm="1">
        <f t="array" ref="Q116">+SUMPRODUCT(('Réel 2024'!$A$8:$A$501=$A116)*('Réel 2024'!$C$3:$AO$3=Q$2),'Réel 2024'!$C$8:$AO$501)</f>
        <v>21283.66</v>
      </c>
      <c r="R116" s="278"/>
      <c r="S116" s="200">
        <f t="shared" si="33"/>
        <v>-19251.34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1" t="s">
        <v>105</v>
      </c>
      <c r="D117" s="249"/>
      <c r="E117" s="195">
        <f t="shared" si="30"/>
        <v>360</v>
      </c>
      <c r="F117" s="179" cm="1">
        <f t="array" ref="F117">+SUMPRODUCT(('Budget original'!$A$8:$A$501=$A117)*('Budget original'!$C$3:$AO$3=F$2),'Budget original'!$C$8:$AO$501)</f>
        <v>81000</v>
      </c>
      <c r="G117" s="269"/>
      <c r="H117" s="195"/>
      <c r="I117" s="179"/>
      <c r="J117" s="223"/>
      <c r="K117" s="195">
        <f t="shared" ref="K117:K121" si="34">IF($J$97=0,0,L117/(J$94+J$95))</f>
        <v>-30.7</v>
      </c>
      <c r="L117" s="180">
        <f>SUMIFS(BV_Data_An_Cour!$P:$P,BV_Data_An_Cour!$U:$U,$B117,BV_Data_An_Cour!$V:$V,$C117,BV_Data_An_Cour!$W:$W,$L$2)</f>
        <v>-153.5</v>
      </c>
      <c r="M117" s="223"/>
      <c r="N117" s="225">
        <f t="shared" si="31"/>
        <v>-81153.5</v>
      </c>
      <c r="O117" s="223"/>
      <c r="P117" s="195">
        <f t="shared" si="32"/>
        <v>404.95732323232312</v>
      </c>
      <c r="Q117" s="180" cm="1">
        <f t="array" ref="Q117">+SUMPRODUCT(('Réel 2024'!$A$8:$A$501=$A117)*('Réel 2024'!$C$3:$AO$3=Q$2),'Réel 2024'!$C$8:$AO$501)</f>
        <v>80181.549999999974</v>
      </c>
      <c r="R117" s="223"/>
      <c r="S117" s="197">
        <f t="shared" si="33"/>
        <v>-80335.049999999974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30"/>
        <v>255.01294110503949</v>
      </c>
      <c r="F118" s="179" cm="1">
        <f t="array" ref="F118">+SUMPRODUCT(('Budget original'!$A$8:$A$501=$A118)*('Budget original'!$C$3:$AO$3=F$2),'Budget original'!$C$8:$AO$501)</f>
        <v>57377.911748633887</v>
      </c>
      <c r="G118" s="269"/>
      <c r="H118" s="195"/>
      <c r="I118" s="179"/>
      <c r="J118" s="223"/>
      <c r="K118" s="195">
        <f t="shared" si="34"/>
        <v>403.18200000000002</v>
      </c>
      <c r="L118" s="180">
        <f>SUMIFS(BV_Data_An_Cour!$P:$P,BV_Data_An_Cour!$U:$U,$B118,BV_Data_An_Cour!$V:$V,$C118,BV_Data_An_Cour!$W:$W,$L$2)</f>
        <v>2015.91</v>
      </c>
      <c r="M118" s="223"/>
      <c r="N118" s="225">
        <f t="shared" si="31"/>
        <v>-55362.001748633884</v>
      </c>
      <c r="O118" s="223"/>
      <c r="P118" s="195">
        <f t="shared" si="32"/>
        <v>416.3689393939394</v>
      </c>
      <c r="Q118" s="180" cm="1">
        <f t="array" ref="Q118">+SUMPRODUCT(('Réel 2024'!$A$8:$A$501=$A118)*('Réel 2024'!$C$3:$AO$3=Q$2),'Réel 2024'!$C$8:$AO$501)</f>
        <v>82441.05</v>
      </c>
      <c r="R118" s="223"/>
      <c r="S118" s="197">
        <f>L118-Q118</f>
        <v>-80425.14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30"/>
        <v>0</v>
      </c>
      <c r="F119" s="179" cm="1">
        <f t="array" ref="F119">+SUMPRODUCT(('Budget original'!$A$8:$A$501=$A119)*('Budget original'!$C$3:$AO$3=F$2),'Budget original'!$C$8:$AO$501)</f>
        <v>0</v>
      </c>
      <c r="G119" s="269"/>
      <c r="H119" s="195"/>
      <c r="I119" s="179"/>
      <c r="J119" s="223"/>
      <c r="K119" s="195">
        <f t="shared" si="34"/>
        <v>0</v>
      </c>
      <c r="L119" s="180">
        <f>SUMIFS(BV_Data_An_Cour!$P:$P,BV_Data_An_Cour!$U:$U,$B119,BV_Data_An_Cour!$V:$V,$C119,BV_Data_An_Cour!$W:$W,$L$2)</f>
        <v>0</v>
      </c>
      <c r="M119" s="223"/>
      <c r="N119" s="225">
        <f t="shared" si="31"/>
        <v>0</v>
      </c>
      <c r="O119" s="223"/>
      <c r="P119" s="195">
        <f t="shared" si="32"/>
        <v>0</v>
      </c>
      <c r="Q119" s="180" cm="1">
        <f t="array" ref="Q119">+SUMPRODUCT(('Réel 2024'!$A$8:$A$501=$A119)*('Réel 2024'!$C$3:$AO$3=Q$2),'Réel 2024'!$C$8:$AO$501)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30"/>
        <v>0</v>
      </c>
      <c r="F120" s="179" cm="1">
        <f t="array" ref="F120">+SUMPRODUCT(('Budget original'!$A$8:$A$501=$A120)*('Budget original'!$C$3:$AO$3=F$2),'Budget original'!$C$8:$AO$501)</f>
        <v>0</v>
      </c>
      <c r="G120" s="269"/>
      <c r="H120" s="195"/>
      <c r="I120" s="179"/>
      <c r="J120" s="223"/>
      <c r="K120" s="195">
        <f t="shared" si="34"/>
        <v>0</v>
      </c>
      <c r="L120" s="180">
        <f>SUMIFS(BV_Data_An_Cour!$P:$P,BV_Data_An_Cour!$U:$U,$B120,BV_Data_An_Cour!$V:$V,$C120,BV_Data_An_Cour!$W:$W,$L$2)</f>
        <v>0</v>
      </c>
      <c r="M120" s="223"/>
      <c r="N120" s="225">
        <f t="shared" si="31"/>
        <v>0</v>
      </c>
      <c r="O120" s="223"/>
      <c r="P120" s="195">
        <f t="shared" si="32"/>
        <v>0</v>
      </c>
      <c r="Q120" s="180" cm="1">
        <f t="array" ref="Q120">+SUMPRODUCT(('Réel 2024'!$A$8:$A$501=$A120)*('Réel 2024'!$C$3:$AO$3=Q$2),'Réel 2024'!$C$8:$AO$501)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30"/>
        <v>0</v>
      </c>
      <c r="F121" s="179" cm="1">
        <f t="array" ref="F121">+SUMPRODUCT(('Budget original'!$A$8:$A$501=$A121)*('Budget original'!$C$3:$AO$3=F$2),'Budget original'!$C$8:$AO$501)</f>
        <v>0</v>
      </c>
      <c r="G121" s="269"/>
      <c r="H121" s="195"/>
      <c r="I121" s="179"/>
      <c r="J121" s="223"/>
      <c r="K121" s="195">
        <f t="shared" si="34"/>
        <v>0</v>
      </c>
      <c r="L121" s="180">
        <f>SUMIFS(BV_Data_An_Cour!$P:$P,BV_Data_An_Cour!$U:$U,$B121,BV_Data_An_Cour!$V:$V,$C121,BV_Data_An_Cour!$W:$W,$L$2)</f>
        <v>0</v>
      </c>
      <c r="M121" s="223"/>
      <c r="N121" s="225">
        <f t="shared" si="31"/>
        <v>0</v>
      </c>
      <c r="O121" s="223"/>
      <c r="P121" s="195">
        <f t="shared" si="32"/>
        <v>0</v>
      </c>
      <c r="Q121" s="180" cm="1">
        <f t="array" ref="Q121">+SUMPRODUCT(('Réel 2024'!$A$8:$A$501=$A121)*('Réel 2024'!$C$3:$AO$3=Q$2),'Réel 2024'!$C$8:$AO$501)</f>
        <v>0</v>
      </c>
      <c r="R121" s="223"/>
      <c r="S121" s="197">
        <f t="shared" si="3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0.5342983751916287</v>
      </c>
      <c r="F122" s="41">
        <f>SUM(F112:F121)</f>
        <v>431846.66174863389</v>
      </c>
      <c r="G122" s="42"/>
      <c r="H122" s="40"/>
      <c r="I122" s="41"/>
      <c r="J122" s="42" t="s">
        <v>108</v>
      </c>
      <c r="K122" s="40">
        <f>L122/L$108</f>
        <v>0.54107185926471146</v>
      </c>
      <c r="L122" s="41">
        <f>SUM(L112:L121)</f>
        <v>13863.96</v>
      </c>
      <c r="M122" s="44"/>
      <c r="N122" s="41">
        <f t="shared" si="31"/>
        <v>-417982.70174863387</v>
      </c>
      <c r="O122" s="42" t="s">
        <v>108</v>
      </c>
      <c r="P122" s="40">
        <f>Q122/Q$108</f>
        <v>0.61621677438777445</v>
      </c>
      <c r="Q122" s="41">
        <f>SUM(Q112:Q121)</f>
        <v>440164.48</v>
      </c>
      <c r="R122" s="44"/>
      <c r="S122" s="285">
        <f t="shared" si="33"/>
        <v>-426300.51999999996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67" t="s">
        <v>109</v>
      </c>
      <c r="D123" s="178"/>
      <c r="E123" s="178"/>
      <c r="F123" s="179" cm="1">
        <f t="array" ref="F123">+SUMPRODUCT(('Budget original'!$A$8:$A$501=$A123)*('Budget original'!$C$3:$AO$3=F$2),'Budget original'!$C$8:$AO$501)</f>
        <v>60148.923076923085</v>
      </c>
      <c r="G123" s="223"/>
      <c r="H123" s="178"/>
      <c r="I123" s="179"/>
      <c r="J123" s="223"/>
      <c r="K123" s="178"/>
      <c r="L123" s="180">
        <f>SUMIFS(BV_Data_An_Cour!$P:$P,BV_Data_An_Cour!$U:$U,$B123,BV_Data_An_Cour!$V:$V,$C123,BV_Data_An_Cour!$W:$W,$L$2)</f>
        <v>3609.65</v>
      </c>
      <c r="M123" s="223"/>
      <c r="N123" s="225">
        <f t="shared" si="31"/>
        <v>-56539.273076923084</v>
      </c>
      <c r="O123" s="223"/>
      <c r="P123" s="178"/>
      <c r="Q123" s="180" cm="1">
        <f t="array" ref="Q123">+SUMPRODUCT(('Réel 2024'!$A$8:$A$501=$A123)*('Réel 2024'!$C$3:$AO$3=Q$2),'Réel 2024'!$C$8:$AO$501)</f>
        <v>49528.989999999991</v>
      </c>
      <c r="R123" s="223"/>
      <c r="S123" s="197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22"/>
        <v>Véhicules usagésSalaires commis</v>
      </c>
      <c r="B124" s="24" t="s">
        <v>140</v>
      </c>
      <c r="C124" s="268" t="s">
        <v>110</v>
      </c>
      <c r="D124" s="249"/>
      <c r="E124" s="178"/>
      <c r="F124" s="177" cm="1">
        <f t="array" ref="F124">+SUMPRODUCT(('Budget original'!$A$8:$A$501=$A124)*('Budget original'!$C$3:$AO$3=F$2),'Budget original'!$C$8:$AO$501)</f>
        <v>34121.149999999994</v>
      </c>
      <c r="G124" s="269"/>
      <c r="H124" s="178"/>
      <c r="I124" s="177"/>
      <c r="J124" s="223"/>
      <c r="K124" s="178"/>
      <c r="L124" s="177">
        <f>SUMIFS(BV_Data_An_Cour!$P:$P,BV_Data_An_Cour!$U:$U,$B124,BV_Data_An_Cour!$V:$V,$C124,BV_Data_An_Cour!$W:$W,$L$2)</f>
        <v>2545.37</v>
      </c>
      <c r="M124" s="223"/>
      <c r="N124" s="225">
        <f t="shared" si="31"/>
        <v>-31575.779999999995</v>
      </c>
      <c r="O124" s="223"/>
      <c r="P124" s="178"/>
      <c r="Q124" s="177" cm="1">
        <f t="array" ref="Q124">+SUMPRODUCT(('Réel 2024'!$A$8:$A$501=$A124)*('Réel 2024'!$C$3:$AO$3=Q$2),'Réel 2024'!$C$8:$AO$501)</f>
        <v>35693.83</v>
      </c>
      <c r="R124" s="223"/>
      <c r="S124" s="197">
        <f t="shared" ref="S124:S153" si="35">L124-Q124</f>
        <v>-33148.46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22"/>
        <v>Véhicules usagésSalaires autres</v>
      </c>
      <c r="B125" s="24" t="s">
        <v>140</v>
      </c>
      <c r="C125" s="267" t="s">
        <v>111</v>
      </c>
      <c r="D125" s="270"/>
      <c r="E125" s="271"/>
      <c r="F125" s="179" cm="1">
        <f t="array" ref="F125">+SUMPRODUCT(('Budget original'!$A$8:$A$501=$A125)*('Budget original'!$C$3:$AO$3=F$2),'Budget original'!$C$8:$AO$501)</f>
        <v>33708</v>
      </c>
      <c r="G125" s="272"/>
      <c r="H125" s="271"/>
      <c r="I125" s="179"/>
      <c r="J125" s="273"/>
      <c r="K125" s="271"/>
      <c r="L125" s="180">
        <f>SUMIFS(BV_Data_An_Cour!$P:$P,BV_Data_An_Cour!$U:$U,$B125,BV_Data_An_Cour!$V:$V,$C125,BV_Data_An_Cour!$W:$W,$L$2)</f>
        <v>0</v>
      </c>
      <c r="M125" s="273"/>
      <c r="N125" s="274">
        <f t="shared" si="31"/>
        <v>-33708</v>
      </c>
      <c r="O125" s="273"/>
      <c r="P125" s="271"/>
      <c r="Q125" s="180" cm="1">
        <f t="array" ref="Q125">+SUMPRODUCT(('Réel 2024'!$A$8:$A$501=$A125)*('Réel 2024'!$C$3:$AO$3=Q$2),'Réel 2024'!$C$8:$AO$501)</f>
        <v>33708</v>
      </c>
      <c r="R125" s="273"/>
      <c r="S125" s="199">
        <f t="shared" si="35"/>
        <v>-33708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>
      <c r="A126" t="str">
        <f t="shared" si="22"/>
        <v>Véhicules usagésSalaires spécialistes</v>
      </c>
      <c r="B126" s="24" t="s">
        <v>140</v>
      </c>
      <c r="C126" s="267" t="s">
        <v>112</v>
      </c>
      <c r="D126" s="249"/>
      <c r="E126" s="178"/>
      <c r="F126" s="179" cm="1">
        <f t="array" ref="F126">+SUMPRODUCT(('Budget original'!$A$8:$A$501=$A126)*('Budget original'!$C$3:$AO$3=F$2),'Budget original'!$C$8:$AO$501)</f>
        <v>0</v>
      </c>
      <c r="G126" s="269"/>
      <c r="H126" s="178"/>
      <c r="I126" s="179"/>
      <c r="J126" s="223"/>
      <c r="K126" s="178"/>
      <c r="L126" s="180">
        <f>SUMIFS(BV_Data_An_Cour!$P:$P,BV_Data_An_Cour!$U:$U,$B126,BV_Data_An_Cour!$V:$V,$C126,BV_Data_An_Cour!$W:$W,$L$2)</f>
        <v>0</v>
      </c>
      <c r="M126" s="223"/>
      <c r="N126" s="225">
        <f t="shared" si="31"/>
        <v>0</v>
      </c>
      <c r="O126" s="223"/>
      <c r="P126" s="178"/>
      <c r="Q126" s="180" cm="1">
        <f t="array" ref="Q126">+SUMPRODUCT(('Réel 2024'!$A$8:$A$501=$A126)*('Réel 2024'!$C$3:$AO$3=Q$2),'Réel 2024'!$C$8:$AO$501)</f>
        <v>0</v>
      </c>
      <c r="R126" s="223"/>
      <c r="S126" s="197">
        <f t="shared" si="35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 cm="1">
        <f t="array" ref="F127">+SUMPRODUCT(('Budget original'!$A$8:$A$501=$A127)*('Budget original'!$C$3:$AO$3=F$2),'Budget original'!$C$8:$AO$501)</f>
        <v>0</v>
      </c>
      <c r="G127" s="269"/>
      <c r="H127" s="178"/>
      <c r="I127" s="179"/>
      <c r="J127" s="223"/>
      <c r="K127" s="178"/>
      <c r="L127" s="180">
        <f>SUMIFS(BV_Data_An_Cour!$P:$P,BV_Data_An_Cour!$U:$U,$B127,BV_Data_An_Cour!$V:$V,$C127,BV_Data_An_Cour!$W:$W,$L$2)</f>
        <v>0</v>
      </c>
      <c r="M127" s="223"/>
      <c r="N127" s="225">
        <f t="shared" si="31"/>
        <v>0</v>
      </c>
      <c r="O127" s="223"/>
      <c r="P127" s="178"/>
      <c r="Q127" s="180" cm="1">
        <f t="array" ref="Q127">+SUMPRODUCT(('Réel 2024'!$A$8:$A$501=$A127)*('Réel 2024'!$C$3:$AO$3=Q$2),'Réel 2024'!$C$8:$AO$501)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 cm="1">
        <f t="array" ref="F128">+SUMPRODUCT(('Budget original'!$A$8:$A$501=$A128)*('Budget original'!$C$3:$AO$3=F$2),'Budget original'!$C$8:$AO$501)</f>
        <v>0</v>
      </c>
      <c r="G128" s="269"/>
      <c r="H128" s="178"/>
      <c r="I128" s="179"/>
      <c r="J128" s="223"/>
      <c r="K128" s="178"/>
      <c r="L128" s="180">
        <f>SUMIFS(BV_Data_An_Cour!$P:$P,BV_Data_An_Cour!$U:$U,$B128,BV_Data_An_Cour!$V:$V,$C128,BV_Data_An_Cour!$W:$W,$L$2)</f>
        <v>0</v>
      </c>
      <c r="M128" s="223"/>
      <c r="N128" s="225">
        <f t="shared" si="31"/>
        <v>0</v>
      </c>
      <c r="O128" s="223"/>
      <c r="P128" s="178"/>
      <c r="Q128" s="180" cm="1">
        <f t="array" ref="Q128">+SUMPRODUCT(('Réel 2024'!$A$8:$A$501=$A128)*('Réel 2024'!$C$3:$AO$3=Q$2),'Réel 2024'!$C$8:$AO$501)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 cm="1">
        <f t="array" ref="F129">+SUMPRODUCT(('Budget original'!$A$8:$A$501=$A129)*('Budget original'!$C$3:$AO$3=F$2),'Budget original'!$C$8:$AO$501)</f>
        <v>0</v>
      </c>
      <c r="G129" s="269"/>
      <c r="H129" s="178"/>
      <c r="I129" s="179"/>
      <c r="J129" s="223"/>
      <c r="K129" s="178"/>
      <c r="L129" s="180">
        <f>SUMIFS(BV_Data_An_Cour!$P:$P,BV_Data_An_Cour!$U:$U,$B129,BV_Data_An_Cour!$V:$V,$C129,BV_Data_An_Cour!$W:$W,$L$2)</f>
        <v>0</v>
      </c>
      <c r="M129" s="223"/>
      <c r="N129" s="225">
        <f t="shared" si="31"/>
        <v>0</v>
      </c>
      <c r="O129" s="223"/>
      <c r="P129" s="178"/>
      <c r="Q129" s="180" cm="1">
        <f t="array" ref="Q129">+SUMPRODUCT(('Réel 2024'!$A$8:$A$501=$A129)*('Réel 2024'!$C$3:$AO$3=Q$2),'Réel 2024'!$C$8:$AO$501)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22"/>
        <v>Véhicules usagésSalaires en absences</v>
      </c>
      <c r="B130" s="24" t="s">
        <v>140</v>
      </c>
      <c r="C130" s="268" t="s">
        <v>113</v>
      </c>
      <c r="D130" s="249"/>
      <c r="E130" s="178"/>
      <c r="F130" s="179" cm="1">
        <f t="array" ref="F130">+SUMPRODUCT(('Budget original'!$A$8:$A$501=$A130)*('Budget original'!$C$3:$AO$3=F$2),'Budget original'!$C$8:$AO$501)</f>
        <v>43123.97919276006</v>
      </c>
      <c r="G130" s="269"/>
      <c r="H130" s="178"/>
      <c r="I130" s="179"/>
      <c r="J130" s="223"/>
      <c r="K130" s="178"/>
      <c r="L130" s="180">
        <f>SUMIFS(BV_Data_An_Cour!$P:$P,BV_Data_An_Cour!$U:$U,$B130,BV_Data_An_Cour!$V:$V,$C130,BV_Data_An_Cour!$W:$W,$L$2)</f>
        <v>2055.12</v>
      </c>
      <c r="M130" s="223"/>
      <c r="N130" s="225">
        <f t="shared" si="31"/>
        <v>-41068.859192760057</v>
      </c>
      <c r="O130" s="223"/>
      <c r="P130" s="178"/>
      <c r="Q130" s="180" cm="1">
        <f t="array" ref="Q130">+SUMPRODUCT(('Réel 2024'!$A$8:$A$501=$A130)*('Réel 2024'!$C$3:$AO$3=Q$2),'Réel 2024'!$C$8:$AO$501)</f>
        <v>47807.299999999996</v>
      </c>
      <c r="R130" s="223"/>
      <c r="S130" s="197">
        <f>L130-Q130</f>
        <v>-45752.179999999993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67" t="s">
        <v>114</v>
      </c>
      <c r="D131" s="270"/>
      <c r="E131" s="271"/>
      <c r="F131" s="373" cm="1">
        <f t="array" ref="F131">+SUMPRODUCT(('Budget original'!$A$8:$A$501=$A131)*('Budget original'!$C$3:$AO$3=F$2),'Budget original'!$C$8:$AO$501)</f>
        <v>50205.375834867518</v>
      </c>
      <c r="G131" s="272"/>
      <c r="H131" s="271"/>
      <c r="I131" s="373"/>
      <c r="J131" s="273"/>
      <c r="K131" s="271"/>
      <c r="L131" s="374">
        <f>SUMIFS(BV_Data_An_Cour!$P:$P,BV_Data_An_Cour!$U:$U,$B131,BV_Data_An_Cour!$V:$V,$C131,BV_Data_An_Cour!$W:$W,$L$2)</f>
        <v>2387.29</v>
      </c>
      <c r="M131" s="273"/>
      <c r="N131" s="274">
        <f t="shared" si="31"/>
        <v>-47818.085834867517</v>
      </c>
      <c r="O131" s="273"/>
      <c r="P131" s="271"/>
      <c r="Q131" s="374" cm="1">
        <f t="array" ref="Q131">+SUMPRODUCT(('Réel 2024'!$A$8:$A$501=$A131)*('Réel 2024'!$C$3:$AO$3=Q$2),'Réel 2024'!$C$8:$AO$501)</f>
        <v>40705.270000000004</v>
      </c>
      <c r="R131" s="273"/>
      <c r="S131" s="199">
        <f t="shared" si="35"/>
        <v>-38317.980000000003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67" t="s">
        <v>115</v>
      </c>
      <c r="D132" s="249"/>
      <c r="E132" s="178"/>
      <c r="F132" s="179" cm="1">
        <f t="array" ref="F132">+SUMPRODUCT(('Budget original'!$A$8:$A$501=$A132)*('Budget original'!$C$3:$AO$3=F$2),'Budget original'!$C$8:$AO$501)</f>
        <v>26207.693723076925</v>
      </c>
      <c r="G132" s="269"/>
      <c r="H132" s="178"/>
      <c r="I132" s="179"/>
      <c r="J132" s="223"/>
      <c r="K132" s="178"/>
      <c r="L132" s="180">
        <f>SUMIFS(BV_Data_An_Cour!$P:$P,BV_Data_An_Cour!$U:$U,$B132,BV_Data_An_Cour!$V:$V,$C132,BV_Data_An_Cour!$W:$W,$L$2)</f>
        <v>1383.53</v>
      </c>
      <c r="M132" s="223"/>
      <c r="N132" s="225">
        <f t="shared" si="31"/>
        <v>-24824.163723076927</v>
      </c>
      <c r="O132" s="223"/>
      <c r="P132" s="178"/>
      <c r="Q132" s="180" cm="1">
        <f t="array" ref="Q132">+SUMPRODUCT(('Réel 2024'!$A$8:$A$501=$A132)*('Réel 2024'!$C$3:$AO$3=Q$2),'Réel 2024'!$C$8:$AO$501)</f>
        <v>26248.959999999999</v>
      </c>
      <c r="R132" s="223"/>
      <c r="S132" s="197">
        <f t="shared" si="35"/>
        <v>-24865.43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22"/>
        <v>Véhicules usagésCsst</v>
      </c>
      <c r="B133" s="24" t="s">
        <v>140</v>
      </c>
      <c r="C133" s="267" t="s">
        <v>116</v>
      </c>
      <c r="D133" s="249"/>
      <c r="E133" s="178"/>
      <c r="F133" s="179" cm="1">
        <f t="array" ref="F133">+SUMPRODUCT(('Budget original'!$A$8:$A$501=$A133)*('Budget original'!$C$3:$AO$3=F$2),'Budget original'!$C$8:$AO$501)</f>
        <v>5615.9343692307675</v>
      </c>
      <c r="G133" s="269"/>
      <c r="H133" s="178"/>
      <c r="I133" s="179"/>
      <c r="J133" s="223"/>
      <c r="K133" s="178"/>
      <c r="L133" s="180">
        <f>SUMIFS(BV_Data_An_Cour!$P:$P,BV_Data_An_Cour!$U:$U,$B133,BV_Data_An_Cour!$V:$V,$C133,BV_Data_An_Cour!$W:$W,$L$2)</f>
        <v>621.11</v>
      </c>
      <c r="M133" s="223"/>
      <c r="N133" s="225">
        <f t="shared" si="31"/>
        <v>-4994.8243692307678</v>
      </c>
      <c r="O133" s="223"/>
      <c r="P133" s="178"/>
      <c r="Q133" s="180" cm="1">
        <f t="array" ref="Q133">+SUMPRODUCT(('Réel 2024'!$A$8:$A$501=$A133)*('Réel 2024'!$C$3:$AO$3=Q$2),'Réel 2024'!$C$8:$AO$501)</f>
        <v>4187.5700000000006</v>
      </c>
      <c r="R133" s="223"/>
      <c r="S133" s="197">
        <f t="shared" si="35"/>
        <v>-3566.4600000000005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22"/>
        <v>Véhicules usagés[...]</v>
      </c>
      <c r="B134" s="24" t="s">
        <v>140</v>
      </c>
      <c r="C134" s="251" t="s">
        <v>42</v>
      </c>
      <c r="D134" s="275"/>
      <c r="E134" s="276"/>
      <c r="F134" s="179" cm="1">
        <f t="array" ref="F134">+SUMPRODUCT(('Budget original'!$A$8:$A$501=$A134)*('Budget original'!$C$3:$AO$3=F$2),'Budget original'!$C$8:$AO$501)</f>
        <v>0</v>
      </c>
      <c r="G134" s="277"/>
      <c r="H134" s="276"/>
      <c r="I134" s="179"/>
      <c r="J134" s="278"/>
      <c r="K134" s="276"/>
      <c r="L134" s="180">
        <f>SUMIFS(BV_Data_An_Cour!$P:$P,BV_Data_An_Cour!$U:$U,$B134,BV_Data_An_Cour!$V:$V,$C134,BV_Data_An_Cour!$W:$W,$L$2)</f>
        <v>0</v>
      </c>
      <c r="M134" s="223"/>
      <c r="N134" s="225">
        <f t="shared" si="31"/>
        <v>0</v>
      </c>
      <c r="O134" s="278"/>
      <c r="P134" s="276"/>
      <c r="Q134" s="180" cm="1">
        <f t="array" ref="Q134">+SUMPRODUCT(('Réel 2024'!$A$8:$A$501=$A134)*('Réel 2024'!$C$3:$AO$3=Q$2),'Réel 2024'!$C$8:$AO$501)</f>
        <v>0</v>
      </c>
      <c r="R134" s="278"/>
      <c r="S134" s="200">
        <f t="shared" si="35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22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0.31318410912076511</v>
      </c>
      <c r="F135" s="41">
        <f>+SUM(F123:F134)</f>
        <v>253131.05619685838</v>
      </c>
      <c r="G135" s="42"/>
      <c r="H135" s="40"/>
      <c r="I135" s="41"/>
      <c r="J135" s="42" t="s">
        <v>108</v>
      </c>
      <c r="K135" s="40">
        <f>L135/L$108</f>
        <v>0.49182379677119981</v>
      </c>
      <c r="L135" s="41">
        <f>SUM(L123:L134)</f>
        <v>12602.070000000002</v>
      </c>
      <c r="M135" s="1018"/>
      <c r="N135" s="1019">
        <f t="shared" si="31"/>
        <v>-240528.98619685837</v>
      </c>
      <c r="O135" s="42" t="s">
        <v>108</v>
      </c>
      <c r="P135" s="40">
        <f>Q135/Q$108</f>
        <v>0.3330245934293059</v>
      </c>
      <c r="Q135" s="41">
        <f>+SUM(Q123:Q134)</f>
        <v>237879.92</v>
      </c>
      <c r="R135" s="43"/>
      <c r="S135" s="281">
        <f t="shared" si="35"/>
        <v>-225277.85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2"/>
        <v>Véhicules usagésPublicité 2</v>
      </c>
      <c r="B136" s="24" t="s">
        <v>140</v>
      </c>
      <c r="C136" s="251" t="s">
        <v>118</v>
      </c>
      <c r="D136" s="249"/>
      <c r="E136" s="178"/>
      <c r="F136" s="179" cm="1">
        <f t="array" ref="F136">+SUMPRODUCT(('Budget original'!$A$8:$A$501=$A136)*('Budget original'!$C$3:$AO$3=F$2),'Budget original'!$C$8:$AO$501)</f>
        <v>0</v>
      </c>
      <c r="G136" s="269"/>
      <c r="H136" s="178"/>
      <c r="I136" s="179"/>
      <c r="J136" s="223"/>
      <c r="K136" s="178"/>
      <c r="L136" s="180">
        <f>SUMIFS(BV_Data_An_Cour!$P:$P,BV_Data_An_Cour!$U:$U,$B136,BV_Data_An_Cour!$V:$V,$C136,BV_Data_An_Cour!$W:$W,$L$2)</f>
        <v>0</v>
      </c>
      <c r="M136" s="223"/>
      <c r="N136" s="225">
        <f t="shared" si="31"/>
        <v>0</v>
      </c>
      <c r="O136" s="223"/>
      <c r="P136" s="178"/>
      <c r="Q136" s="180" cm="1">
        <f t="array" ref="Q136">+SUMPRODUCT(('Réel 2024'!$A$8:$A$501=$A136)*('Réel 2024'!$C$3:$AO$3=Q$2),'Réel 2024'!$C$8:$AO$501)</f>
        <v>0</v>
      </c>
      <c r="R136" s="223"/>
      <c r="S136" s="197">
        <f t="shared" si="35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usagésService gratuit 2</v>
      </c>
      <c r="B137" s="24" t="s">
        <v>140</v>
      </c>
      <c r="C137" s="251" t="s">
        <v>119</v>
      </c>
      <c r="D137" s="249"/>
      <c r="E137" s="178"/>
      <c r="F137" s="179" cm="1">
        <f t="array" ref="F137">+SUMPRODUCT(('Budget original'!$A$8:$A$501=$A137)*('Budget original'!$C$3:$AO$3=F$2),'Budget original'!$C$8:$AO$501)</f>
        <v>0</v>
      </c>
      <c r="G137" s="269"/>
      <c r="H137" s="178"/>
      <c r="I137" s="179"/>
      <c r="J137" s="223"/>
      <c r="K137" s="178"/>
      <c r="L137" s="180">
        <f>SUMIFS(BV_Data_An_Cour!$P:$P,BV_Data_An_Cour!$U:$U,$B137,BV_Data_An_Cour!$V:$V,$C137,BV_Data_An_Cour!$W:$W,$L$2)</f>
        <v>0</v>
      </c>
      <c r="M137" s="223"/>
      <c r="N137" s="225">
        <f t="shared" si="31"/>
        <v>0</v>
      </c>
      <c r="O137" s="223"/>
      <c r="P137" s="178"/>
      <c r="Q137" s="180" cm="1">
        <f t="array" ref="Q137">+SUMPRODUCT(('Réel 2024'!$A$8:$A$501=$A137)*('Réel 2024'!$C$3:$AO$3=Q$2),'Réel 2024'!$C$8:$AO$501)</f>
        <v>0</v>
      </c>
      <c r="R137" s="223"/>
      <c r="S137" s="197">
        <f t="shared" si="35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4" t="s">
        <v>120</v>
      </c>
      <c r="D138" s="275"/>
      <c r="E138" s="276"/>
      <c r="F138" s="177" cm="1">
        <f t="array" ref="F138">+SUMPRODUCT(('Budget original'!$A$8:$A$501=$A138)*('Budget original'!$C$3:$AO$3=F$2),'Budget original'!$C$8:$AO$501)</f>
        <v>11323.6</v>
      </c>
      <c r="G138" s="277"/>
      <c r="H138" s="276"/>
      <c r="I138" s="177"/>
      <c r="J138" s="278"/>
      <c r="K138" s="276"/>
      <c r="L138" s="177">
        <f>SUMIFS(BV_Data_An_Cour!$P:$P,BV_Data_An_Cour!$U:$U,$B138,BV_Data_An_Cour!$V:$V,$C138,BV_Data_An_Cour!$W:$W,$L$2)</f>
        <v>720.21</v>
      </c>
      <c r="M138" s="278"/>
      <c r="N138" s="279">
        <f t="shared" si="31"/>
        <v>-10603.39</v>
      </c>
      <c r="O138" s="278"/>
      <c r="P138" s="276"/>
      <c r="Q138" s="177" cm="1">
        <f t="array" ref="Q138">+SUMPRODUCT(('Réel 2024'!$A$8:$A$501=$A138)*('Réel 2024'!$C$3:$AO$3=Q$2),'Réel 2024'!$C$8:$AO$501)</f>
        <v>13567.79</v>
      </c>
      <c r="R138" s="278"/>
      <c r="S138" s="200">
        <f t="shared" si="35"/>
        <v>-12847.580000000002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1" t="s">
        <v>121</v>
      </c>
      <c r="D139" s="249"/>
      <c r="E139" s="178"/>
      <c r="F139" s="179" cm="1">
        <f t="array" ref="F139">+SUMPRODUCT(('Budget original'!$A$8:$A$501=$A139)*('Budget original'!$C$3:$AO$3=F$2),'Budget original'!$C$8:$AO$501)</f>
        <v>17104.8</v>
      </c>
      <c r="G139" s="269"/>
      <c r="H139" s="178"/>
      <c r="I139" s="179"/>
      <c r="J139" s="223"/>
      <c r="K139" s="178"/>
      <c r="L139" s="180">
        <f>SUMIFS(BV_Data_An_Cour!$P:$P,BV_Data_An_Cour!$U:$U,$B139,BV_Data_An_Cour!$V:$V,$C139,BV_Data_An_Cour!$W:$W,$L$2)</f>
        <v>1821.15</v>
      </c>
      <c r="M139" s="223"/>
      <c r="N139" s="225">
        <f t="shared" si="31"/>
        <v>-15283.65</v>
      </c>
      <c r="O139" s="223"/>
      <c r="P139" s="178"/>
      <c r="Q139" s="180" cm="1">
        <f t="array" ref="Q139">+SUMPRODUCT(('Réel 2024'!$A$8:$A$501=$A139)*('Réel 2024'!$C$3:$AO$3=Q$2),'Réel 2024'!$C$8:$AO$501)</f>
        <v>18005.049999999996</v>
      </c>
      <c r="R139" s="223"/>
      <c r="S139" s="197">
        <f t="shared" si="35"/>
        <v>-16183.899999999996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1" t="s">
        <v>122</v>
      </c>
      <c r="D140" s="249"/>
      <c r="E140" s="178"/>
      <c r="F140" s="179" cm="1">
        <f t="array" ref="F140">+SUMPRODUCT(('Budget original'!$A$8:$A$501=$A140)*('Budget original'!$C$3:$AO$3=F$2),'Budget original'!$C$8:$AO$501)</f>
        <v>2199.9999999999995</v>
      </c>
      <c r="G140" s="269"/>
      <c r="H140" s="178"/>
      <c r="I140" s="179"/>
      <c r="J140" s="223"/>
      <c r="K140" s="178"/>
      <c r="L140" s="180">
        <f>SUMIFS(BV_Data_An_Cour!$P:$P,BV_Data_An_Cour!$U:$U,$B140,BV_Data_An_Cour!$V:$V,$C140,BV_Data_An_Cour!$W:$W,$L$2)</f>
        <v>50.94</v>
      </c>
      <c r="M140" s="223"/>
      <c r="N140" s="225">
        <f t="shared" si="31"/>
        <v>-2149.0599999999995</v>
      </c>
      <c r="O140" s="223"/>
      <c r="P140" s="178"/>
      <c r="Q140" s="180" cm="1">
        <f t="array" ref="Q140">+SUMPRODUCT(('Réel 2024'!$A$8:$A$501=$A140)*('Réel 2024'!$C$3:$AO$3=Q$2),'Réel 2024'!$C$8:$AO$501)</f>
        <v>2536.6299999999997</v>
      </c>
      <c r="R140" s="223"/>
      <c r="S140" s="197">
        <f t="shared" si="35"/>
        <v>-2485.6899999999996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4" t="s">
        <v>123</v>
      </c>
      <c r="D141" s="275"/>
      <c r="E141" s="276"/>
      <c r="F141" s="177" cm="1">
        <f t="array" ref="F141">+SUMPRODUCT(('Budget original'!$A$8:$A$501=$A141)*('Budget original'!$C$3:$AO$3=F$2),'Budget original'!$C$8:$AO$501)</f>
        <v>8839.2000000000025</v>
      </c>
      <c r="G141" s="277"/>
      <c r="H141" s="276"/>
      <c r="I141" s="177"/>
      <c r="J141" s="278"/>
      <c r="K141" s="276"/>
      <c r="L141" s="177">
        <f>SUMIFS(BV_Data_An_Cour!$P:$P,BV_Data_An_Cour!$U:$U,$B141,BV_Data_An_Cour!$V:$V,$C141,BV_Data_An_Cour!$W:$W,$L$2)</f>
        <v>1124.04</v>
      </c>
      <c r="M141" s="278"/>
      <c r="N141" s="279">
        <f t="shared" si="31"/>
        <v>-7715.1600000000026</v>
      </c>
      <c r="O141" s="278"/>
      <c r="P141" s="276"/>
      <c r="Q141" s="177" cm="1">
        <f t="array" ref="Q141">+SUMPRODUCT(('Réel 2024'!$A$8:$A$501=$A141)*('Réel 2024'!$C$3:$AO$3=Q$2),'Réel 2024'!$C$8:$AO$501)</f>
        <v>10856.239999999998</v>
      </c>
      <c r="R141" s="278"/>
      <c r="S141" s="200">
        <f t="shared" si="35"/>
        <v>-9732.1999999999971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1" t="s">
        <v>124</v>
      </c>
      <c r="D142" s="249"/>
      <c r="E142" s="178"/>
      <c r="F142" s="179" cm="1">
        <f t="array" ref="F142">+SUMPRODUCT(('Budget original'!$A$8:$A$501=$A142)*('Budget original'!$C$3:$AO$3=F$2),'Budget original'!$C$8:$AO$501)</f>
        <v>210</v>
      </c>
      <c r="G142" s="269"/>
      <c r="H142" s="178"/>
      <c r="I142" s="179"/>
      <c r="J142" s="223"/>
      <c r="K142" s="178"/>
      <c r="L142" s="180">
        <f>SUMIFS(BV_Data_An_Cour!$P:$P,BV_Data_An_Cour!$U:$U,$B142,BV_Data_An_Cour!$V:$V,$C142,BV_Data_An_Cour!$W:$W,$L$2)</f>
        <v>2.92</v>
      </c>
      <c r="M142" s="223"/>
      <c r="N142" s="225">
        <f t="shared" si="31"/>
        <v>-207.08</v>
      </c>
      <c r="O142" s="223"/>
      <c r="P142" s="178"/>
      <c r="Q142" s="180" cm="1">
        <f t="array" ref="Q142">+SUMPRODUCT(('Réel 2024'!$A$8:$A$501=$A142)*('Réel 2024'!$C$3:$AO$3=Q$2),'Réel 2024'!$C$8:$AO$501)</f>
        <v>283.45</v>
      </c>
      <c r="R142" s="223"/>
      <c r="S142" s="197">
        <f t="shared" si="35"/>
        <v>-280.52999999999997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1" t="s">
        <v>125</v>
      </c>
      <c r="D143" s="249"/>
      <c r="E143" s="178"/>
      <c r="F143" s="179" cm="1">
        <f t="array" ref="F143">+SUMPRODUCT(('Budget original'!$A$8:$A$501=$A143)*('Budget original'!$C$3:$AO$3=F$2),'Budget original'!$C$8:$AO$501)</f>
        <v>120</v>
      </c>
      <c r="G143" s="269"/>
      <c r="H143" s="178"/>
      <c r="I143" s="179"/>
      <c r="J143" s="223"/>
      <c r="K143" s="178"/>
      <c r="L143" s="180">
        <f>SUMIFS(BV_Data_An_Cour!$P:$P,BV_Data_An_Cour!$U:$U,$B143,BV_Data_An_Cour!$V:$V,$C143,BV_Data_An_Cour!$W:$W,$L$2)</f>
        <v>0</v>
      </c>
      <c r="M143" s="223"/>
      <c r="N143" s="225">
        <f t="shared" si="31"/>
        <v>-120</v>
      </c>
      <c r="O143" s="223"/>
      <c r="P143" s="178"/>
      <c r="Q143" s="180" cm="1">
        <f t="array" ref="Q143">+SUMPRODUCT(('Réel 2024'!$A$8:$A$501=$A143)*('Réel 2024'!$C$3:$AO$3=Q$2),'Réel 2024'!$C$8:$AO$501)</f>
        <v>185.07</v>
      </c>
      <c r="R143" s="223"/>
      <c r="S143" s="197">
        <f t="shared" si="35"/>
        <v>-185.07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1" t="s">
        <v>126</v>
      </c>
      <c r="D144" s="249"/>
      <c r="E144" s="178"/>
      <c r="F144" s="179" cm="1">
        <f t="array" ref="F144">+SUMPRODUCT(('Budget original'!$A$8:$A$501=$A144)*('Budget original'!$C$3:$AO$3=F$2),'Budget original'!$C$8:$AO$501)</f>
        <v>1890</v>
      </c>
      <c r="G144" s="269"/>
      <c r="H144" s="178"/>
      <c r="I144" s="179"/>
      <c r="J144" s="223"/>
      <c r="K144" s="178"/>
      <c r="L144" s="473">
        <f>SUMIFS(BV_Data_An_Cour!$P:$P,BV_Data_An_Cour!$U:$U,$B144,BV_Data_An_Cour!$V:$V,$C144,BV_Data_An_Cour!$W:$W,$L$2)</f>
        <v>37.82</v>
      </c>
      <c r="M144" s="223"/>
      <c r="N144" s="225">
        <f t="shared" si="31"/>
        <v>-1852.18</v>
      </c>
      <c r="O144" s="223"/>
      <c r="P144" s="178"/>
      <c r="Q144" s="473" cm="1">
        <f t="array" ref="Q144">+SUMPRODUCT(('Réel 2024'!$A$8:$A$501=$A144)*('Réel 2024'!$C$3:$AO$3=Q$2),'Réel 2024'!$C$8:$AO$501)</f>
        <v>1993.16</v>
      </c>
      <c r="R144" s="223"/>
      <c r="S144" s="197">
        <f t="shared" si="35"/>
        <v>-1955.3400000000001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1" t="s">
        <v>127</v>
      </c>
      <c r="D145" s="249"/>
      <c r="E145" s="178"/>
      <c r="F145" s="179" cm="1">
        <f t="array" ref="F145">+SUMPRODUCT(('Budget original'!$A$8:$A$501=$A145)*('Budget original'!$C$3:$AO$3=F$2),'Budget original'!$C$8:$AO$501)</f>
        <v>758.40000000000009</v>
      </c>
      <c r="G145" s="269"/>
      <c r="H145" s="178"/>
      <c r="I145" s="179"/>
      <c r="J145" s="223"/>
      <c r="K145" s="178"/>
      <c r="L145" s="180">
        <f>SUMIFS(BV_Data_An_Cour!$P:$P,BV_Data_An_Cour!$U:$U,$B145,BV_Data_An_Cour!$V:$V,$C145,BV_Data_An_Cour!$W:$W,$L$2)</f>
        <v>97.56</v>
      </c>
      <c r="M145" s="223"/>
      <c r="N145" s="225">
        <f t="shared" si="31"/>
        <v>-660.84000000000015</v>
      </c>
      <c r="O145" s="223"/>
      <c r="P145" s="178"/>
      <c r="Q145" s="180" cm="1">
        <f t="array" ref="Q145">+SUMPRODUCT(('Réel 2024'!$A$8:$A$501=$A145)*('Réel 2024'!$C$3:$AO$3=Q$2),'Réel 2024'!$C$8:$AO$501)</f>
        <v>1006.4</v>
      </c>
      <c r="R145" s="223"/>
      <c r="S145" s="197">
        <f t="shared" si="35"/>
        <v>-908.83999999999992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1" t="s">
        <v>128</v>
      </c>
      <c r="D146" s="249"/>
      <c r="E146" s="178"/>
      <c r="F146" s="179" cm="1">
        <f t="array" ref="F146">+SUMPRODUCT(('Budget original'!$A$8:$A$501=$A146)*('Budget original'!$C$3:$AO$3=F$2),'Budget original'!$C$8:$AO$501)</f>
        <v>540</v>
      </c>
      <c r="G146" s="269"/>
      <c r="H146" s="178"/>
      <c r="I146" s="179"/>
      <c r="J146" s="223"/>
      <c r="K146" s="178"/>
      <c r="L146" s="180">
        <f>SUMIFS(BV_Data_An_Cour!$P:$P,BV_Data_An_Cour!$U:$U,$B146,BV_Data_An_Cour!$V:$V,$C146,BV_Data_An_Cour!$W:$W,$L$2)</f>
        <v>14.42</v>
      </c>
      <c r="M146" s="223"/>
      <c r="N146" s="225">
        <f t="shared" si="31"/>
        <v>-525.58000000000004</v>
      </c>
      <c r="O146" s="223"/>
      <c r="P146" s="178"/>
      <c r="Q146" s="180" cm="1">
        <f t="array" ref="Q146">+SUMPRODUCT(('Réel 2024'!$A$8:$A$501=$A146)*('Réel 2024'!$C$3:$AO$3=Q$2),'Réel 2024'!$C$8:$AO$501)</f>
        <v>1784.6299999999997</v>
      </c>
      <c r="R146" s="223"/>
      <c r="S146" s="197">
        <f t="shared" si="35"/>
        <v>-1770.2099999999996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1" t="s">
        <v>129</v>
      </c>
      <c r="D147" s="249"/>
      <c r="E147" s="178"/>
      <c r="F147" s="179" cm="1">
        <f t="array" ref="F147">+SUMPRODUCT(('Budget original'!$A$8:$A$501=$A147)*('Budget original'!$C$3:$AO$3=F$2),'Budget original'!$C$8:$AO$501)</f>
        <v>2089.1999999999998</v>
      </c>
      <c r="G147" s="269"/>
      <c r="H147" s="178"/>
      <c r="I147" s="179"/>
      <c r="J147" s="223"/>
      <c r="K147" s="178"/>
      <c r="L147" s="180">
        <f>SUMIFS(BV_Data_An_Cour!$P:$P,BV_Data_An_Cour!$U:$U,$B147,BV_Data_An_Cour!$V:$V,$C147,BV_Data_An_Cour!$W:$W,$L$2)</f>
        <v>136</v>
      </c>
      <c r="M147" s="223"/>
      <c r="N147" s="225">
        <f t="shared" si="31"/>
        <v>-1953.1999999999998</v>
      </c>
      <c r="O147" s="223"/>
      <c r="P147" s="178"/>
      <c r="Q147" s="180" cm="1">
        <f t="array" ref="Q147">+SUMPRODUCT(('Réel 2024'!$A$8:$A$501=$A147)*('Réel 2024'!$C$3:$AO$3=Q$2),'Réel 2024'!$C$8:$AO$501)</f>
        <v>2016.86</v>
      </c>
      <c r="R147" s="223"/>
      <c r="S147" s="197">
        <f t="shared" si="35"/>
        <v>-1880.86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1" t="s">
        <v>130</v>
      </c>
      <c r="D148" s="249"/>
      <c r="E148" s="178"/>
      <c r="F148" s="179" cm="1">
        <f t="array" ref="F148">+SUMPRODUCT(('Budget original'!$A$8:$A$501=$A148)*('Budget original'!$C$3:$AO$3=F$2),'Budget original'!$C$8:$AO$501)</f>
        <v>1488.4893600000003</v>
      </c>
      <c r="G148" s="269"/>
      <c r="H148" s="178"/>
      <c r="I148" s="179"/>
      <c r="J148" s="223"/>
      <c r="K148" s="178"/>
      <c r="L148" s="225">
        <f>SUMIFS(BV_Data_An_Cour!$P:$P,BV_Data_An_Cour!$U:$U,$B148,BV_Data_An_Cour!$V:$V,$C148,BV_Data_An_Cour!$W:$W,$L$2)</f>
        <v>205.67</v>
      </c>
      <c r="M148" s="223"/>
      <c r="N148" s="225">
        <f t="shared" si="31"/>
        <v>-1282.8193600000002</v>
      </c>
      <c r="O148" s="223"/>
      <c r="P148" s="178"/>
      <c r="Q148" s="180" cm="1">
        <f t="array" ref="Q148">+SUMPRODUCT(('Réel 2024'!$A$8:$A$501=$A148)*('Réel 2024'!$C$3:$AO$3=Q$2),'Réel 2024'!$C$8:$AO$501)</f>
        <v>729.47</v>
      </c>
      <c r="R148" s="223"/>
      <c r="S148" s="197">
        <f t="shared" si="35"/>
        <v>-523.80000000000007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 cm="1">
        <f t="array" ref="F149">+SUMPRODUCT(('Budget original'!$A$8:$A$501=$A149)*('Budget original'!$C$3:$AO$3=F$2),'Budget original'!$C$8:$AO$501)</f>
        <v>7852.6351005882361</v>
      </c>
      <c r="G149" s="269"/>
      <c r="H149" s="178"/>
      <c r="I149" s="179"/>
      <c r="J149" s="223"/>
      <c r="K149" s="178"/>
      <c r="L149" s="180">
        <f>SUMIFS(BV_Data_An_Cour!$P:$P,BV_Data_An_Cour!$U:$U,$B149,BV_Data_An_Cour!$V:$V,$C149,BV_Data_An_Cour!$W:$W,$L$2)</f>
        <v>511.52</v>
      </c>
      <c r="M149" s="223"/>
      <c r="N149" s="225">
        <f t="shared" si="31"/>
        <v>-7341.1151005882366</v>
      </c>
      <c r="O149" s="223"/>
      <c r="P149" s="178"/>
      <c r="Q149" s="180" cm="1">
        <f t="array" ref="Q149">+SUMPRODUCT(('Réel 2024'!$A$8:$A$501=$A149)*('Réel 2024'!$C$3:$AO$3=Q$2),'Réel 2024'!$C$8:$AO$501)</f>
        <v>7974.04</v>
      </c>
      <c r="R149" s="223"/>
      <c r="S149" s="197">
        <f>L149-Q149</f>
        <v>-7462.52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 cm="1">
        <f t="array" ref="F150">+SUMPRODUCT(('Budget original'!$A$8:$A$501=$A150)*('Budget original'!$C$3:$AO$3=F$2),'Budget original'!$C$8:$AO$501)</f>
        <v>0</v>
      </c>
      <c r="G150" s="269"/>
      <c r="H150" s="178"/>
      <c r="I150" s="179"/>
      <c r="J150" s="223"/>
      <c r="K150" s="178"/>
      <c r="L150" s="180">
        <f>SUMIFS(BV_Data_An_Cour!$P:$P,BV_Data_An_Cour!$U:$U,$B150,BV_Data_An_Cour!$V:$V,$C150,BV_Data_An_Cour!$W:$W,$L$2)</f>
        <v>0</v>
      </c>
      <c r="M150" s="223"/>
      <c r="N150" s="225">
        <f t="shared" si="31"/>
        <v>0</v>
      </c>
      <c r="O150" s="223"/>
      <c r="P150" s="178"/>
      <c r="Q150" s="180" cm="1">
        <f t="array" ref="Q150">+SUMPRODUCT(('Réel 2024'!$A$8:$A$501=$A150)*('Réel 2024'!$C$3:$AO$3=Q$2),'Réel 2024'!$C$8:$AO$501)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 cm="1">
        <f t="array" ref="F151">+SUMPRODUCT(('Budget original'!$A$8:$A$501=$A151)*('Budget original'!$C$3:$AO$3=F$2),'Budget original'!$C$8:$AO$501)</f>
        <v>0</v>
      </c>
      <c r="G151" s="269"/>
      <c r="H151" s="178"/>
      <c r="I151" s="179"/>
      <c r="J151" s="223"/>
      <c r="K151" s="178"/>
      <c r="L151" s="180">
        <f>SUMIFS(BV_Data_An_Cour!$P:$P,BV_Data_An_Cour!$U:$U,$B151,BV_Data_An_Cour!$V:$V,$C151,BV_Data_An_Cour!$W:$W,$L$2)</f>
        <v>0</v>
      </c>
      <c r="M151" s="223"/>
      <c r="N151" s="225">
        <f t="shared" si="31"/>
        <v>0</v>
      </c>
      <c r="O151" s="223"/>
      <c r="P151" s="178"/>
      <c r="Q151" s="180" cm="1">
        <f t="array" ref="Q151">+SUMPRODUCT(('Réel 2024'!$A$8:$A$501=$A151)*('Réel 2024'!$C$3:$AO$3=Q$2),'Réel 2024'!$C$8:$AO$501)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 cm="1">
        <f t="array" ref="F152">+SUMPRODUCT(('Budget original'!$A$8:$A$501=$A152)*('Budget original'!$C$3:$AO$3=F$2),'Budget original'!$C$8:$AO$501)</f>
        <v>0</v>
      </c>
      <c r="G152" s="269"/>
      <c r="H152" s="178"/>
      <c r="I152" s="179"/>
      <c r="J152" s="223"/>
      <c r="K152" s="178"/>
      <c r="L152" s="180">
        <f>SUMIFS(BV_Data_An_Cour!$P:$P,BV_Data_An_Cour!$U:$U,$B152,BV_Data_An_Cour!$V:$V,$C152,BV_Data_An_Cour!$W:$W,$L$2)</f>
        <v>0</v>
      </c>
      <c r="M152" s="223"/>
      <c r="N152" s="225">
        <f t="shared" si="31"/>
        <v>0</v>
      </c>
      <c r="O152" s="223"/>
      <c r="P152" s="178"/>
      <c r="Q152" s="180" cm="1">
        <f t="array" ref="Q152">+SUMPRODUCT(('Réel 2024'!$A$8:$A$501=$A152)*('Réel 2024'!$C$3:$AO$3=Q$2),'Réel 2024'!$C$8:$AO$501)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6.7326105116719132E-2</v>
      </c>
      <c r="F153" s="41">
        <f>+SUM(F136:F152)</f>
        <v>54416.324460588243</v>
      </c>
      <c r="G153" s="42"/>
      <c r="H153" s="40"/>
      <c r="I153" s="41"/>
      <c r="J153" s="42" t="s">
        <v>108</v>
      </c>
      <c r="K153" s="40">
        <f>L153/L$108</f>
        <v>0.18429630404392278</v>
      </c>
      <c r="L153" s="41">
        <f>+SUM(L136:L152)</f>
        <v>4722.25</v>
      </c>
      <c r="M153" s="44"/>
      <c r="N153" s="41">
        <f t="shared" si="31"/>
        <v>-49694.074460588243</v>
      </c>
      <c r="O153" s="42" t="s">
        <v>108</v>
      </c>
      <c r="P153" s="40">
        <f>Q153/Q$108</f>
        <v>8.5312437316373113E-2</v>
      </c>
      <c r="Q153" s="41">
        <f>+SUM(Q136:Q152)</f>
        <v>60938.789999999994</v>
      </c>
      <c r="R153" s="44"/>
      <c r="S153" s="285">
        <f t="shared" si="35"/>
        <v>-56216.539999999994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0.91480858942911292</v>
      </c>
      <c r="F155" s="41">
        <f>F122+F135+F153</f>
        <v>739394.04240608052</v>
      </c>
      <c r="G155" s="42"/>
      <c r="H155" s="40"/>
      <c r="I155" s="41"/>
      <c r="J155" s="42" t="s">
        <v>108</v>
      </c>
      <c r="K155" s="40">
        <f>L155/L$108</f>
        <v>1.217191960079834</v>
      </c>
      <c r="L155" s="41">
        <f>L122+L135+L153</f>
        <v>31188.28</v>
      </c>
      <c r="M155" s="44"/>
      <c r="N155" s="46">
        <f t="shared" ref="N155:N162" si="36">L155-F155</f>
        <v>-708205.7624060805</v>
      </c>
      <c r="O155" s="42" t="s">
        <v>108</v>
      </c>
      <c r="P155" s="40">
        <f>Q155/Q$108</f>
        <v>1.0345538051334537</v>
      </c>
      <c r="Q155" s="41">
        <f>Q122+Q135+Q153</f>
        <v>738983.19000000006</v>
      </c>
      <c r="R155" s="44"/>
      <c r="S155" s="281">
        <f t="shared" ref="S155:S162" si="37">L155-Q155</f>
        <v>-707794.91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1" t="s">
        <v>394</v>
      </c>
      <c r="D156" s="359"/>
      <c r="E156" s="360"/>
      <c r="F156" s="179" cm="1">
        <f t="array" ref="F156">+SUMPRODUCT(('Budget original'!$A$8:$A$501=$A156)*('Budget original'!$C$3:$AO$3=F$2),'Budget original'!$C$8:$AO$501)</f>
        <v>28125</v>
      </c>
      <c r="G156" s="361"/>
      <c r="H156" s="360"/>
      <c r="I156" s="179"/>
      <c r="J156" s="361"/>
      <c r="K156" s="360"/>
      <c r="L156" s="473">
        <f>-SUMIFS(BV_Data_An_Cour!$P:$P,BV_Data_An_Cour!$U:$U,$B156,BV_Data_An_Cour!$V:$V,$C156,BV_Data_An_Cour!$W:$W,$L$2)</f>
        <v>0</v>
      </c>
      <c r="M156" s="223"/>
      <c r="N156" s="225">
        <f t="shared" si="36"/>
        <v>-28125</v>
      </c>
      <c r="O156" s="361"/>
      <c r="P156" s="360"/>
      <c r="Q156" s="180" cm="1">
        <f t="array" ref="Q156">+SUMPRODUCT(('Réel 2024'!$A$8:$A$501=$A156)*('Réel 2024'!$C$3:$AO$3=Q$2),'Réel 2024'!$C$8:$AO$501)</f>
        <v>16050</v>
      </c>
      <c r="R156" s="223"/>
      <c r="S156" s="197">
        <f t="shared" si="37"/>
        <v>-16050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1" t="s">
        <v>395</v>
      </c>
      <c r="D157" s="359"/>
      <c r="E157" s="360"/>
      <c r="F157" s="179" cm="1">
        <f t="array" ref="F157">+SUMPRODUCT(('Budget original'!$A$8:$A$501=$A157)*('Budget original'!$C$3:$AO$3=F$2),'Budget original'!$C$8:$AO$501)</f>
        <v>10050</v>
      </c>
      <c r="G157" s="361"/>
      <c r="H157" s="360"/>
      <c r="I157" s="179"/>
      <c r="J157" s="361"/>
      <c r="K157" s="360"/>
      <c r="L157" s="180">
        <f>-SUMIFS(BV_Data_An_Cour!$P:$P,BV_Data_An_Cour!$U:$U,$B157,BV_Data_An_Cour!$V:$V,$C157,BV_Data_An_Cour!$W:$W,$L$2)</f>
        <v>0</v>
      </c>
      <c r="M157" s="223"/>
      <c r="N157" s="225">
        <f t="shared" si="36"/>
        <v>-10050</v>
      </c>
      <c r="O157" s="361"/>
      <c r="P157" s="360"/>
      <c r="Q157" s="180" cm="1">
        <f t="array" ref="Q157">+SUMPRODUCT(('Réel 2024'!$A$8:$A$501=$A157)*('Réel 2024'!$C$3:$AO$3=Q$2),'Réel 2024'!$C$8:$AO$501)</f>
        <v>24625</v>
      </c>
      <c r="R157" s="223"/>
      <c r="S157" s="197">
        <f t="shared" si="37"/>
        <v>-24625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1" t="s">
        <v>146</v>
      </c>
      <c r="D158" s="249"/>
      <c r="E158" s="178"/>
      <c r="F158" s="179" cm="1">
        <f t="array" ref="F158">+SUMPRODUCT(('Budget original'!$A$8:$A$501=$A158)*('Budget original'!$C$3:$AO$3=F$2),'Budget original'!$C$8:$AO$501)</f>
        <v>0</v>
      </c>
      <c r="G158" s="269"/>
      <c r="H158" s="178"/>
      <c r="I158" s="179"/>
      <c r="J158" s="223"/>
      <c r="K158" s="178"/>
      <c r="L158" s="180">
        <f>-SUMIFS(BV_Data_An_Cour!$P:$P,BV_Data_An_Cour!$U:$U,$B158,BV_Data_An_Cour!$V:$V,$C158,BV_Data_An_Cour!$W:$W,$L$2)</f>
        <v>0</v>
      </c>
      <c r="M158" s="223"/>
      <c r="N158" s="225">
        <f t="shared" si="36"/>
        <v>0</v>
      </c>
      <c r="O158" s="223"/>
      <c r="P158" s="178"/>
      <c r="Q158" s="180" cm="1">
        <f t="array" ref="Q158">+SUMPRODUCT(('Réel 2024'!$A$8:$A$501=$A158)*('Réel 2024'!$C$3:$AO$3=Q$2),'Réel 2024'!$C$8:$AO$501)</f>
        <v>0</v>
      </c>
      <c r="R158" s="223"/>
      <c r="S158" s="197">
        <f t="shared" si="37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 cm="1">
        <f t="array" ref="F159">+SUMPRODUCT(('Budget original'!$A$8:$A$501=$A159)*('Budget original'!$C$3:$AO$3=F$2),'Budget original'!$C$8:$AO$501)</f>
        <v>111116.25</v>
      </c>
      <c r="G159" s="269"/>
      <c r="H159" s="178"/>
      <c r="I159" s="179"/>
      <c r="J159" s="223"/>
      <c r="K159" s="178"/>
      <c r="L159" s="473">
        <f>-SUMIFS(BV_Data_An_Cour!$P:$P,BV_Data_An_Cour!$U:$U,$B159,BV_Data_An_Cour!$V:$V,$C159,BV_Data_An_Cour!$W:$W,$L$2)</f>
        <v>2975</v>
      </c>
      <c r="M159" s="223"/>
      <c r="N159" s="225">
        <f t="shared" si="36"/>
        <v>-108141.25</v>
      </c>
      <c r="O159" s="223"/>
      <c r="P159" s="178"/>
      <c r="Q159" s="180" cm="1">
        <f t="array" ref="Q159">+SUMPRODUCT(('Réel 2024'!$A$8:$A$501=$A159)*('Réel 2024'!$C$3:$AO$3=Q$2),'Réel 2024'!$C$8:$AO$501)</f>
        <v>98770</v>
      </c>
      <c r="R159" s="223"/>
      <c r="S159" s="197">
        <f t="shared" si="37"/>
        <v>-95795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 cm="1">
        <f t="array" ref="F160">+SUMPRODUCT(('Budget original'!$A$8:$A$501=$A160)*('Budget original'!$C$3:$AO$3=F$2),'Budget original'!$C$8:$AO$501)</f>
        <v>0</v>
      </c>
      <c r="G160" s="269"/>
      <c r="H160" s="178"/>
      <c r="I160" s="179"/>
      <c r="J160" s="223"/>
      <c r="K160" s="178"/>
      <c r="L160" s="473">
        <f>-SUMIFS(BV_Data_An_Cour!$P:$P,BV_Data_An_Cour!$U:$U,$B160,BV_Data_An_Cour!$V:$V,$C160,BV_Data_An_Cour!$W:$W,$L$2)</f>
        <v>0</v>
      </c>
      <c r="M160" s="223"/>
      <c r="N160" s="225">
        <f t="shared" si="36"/>
        <v>0</v>
      </c>
      <c r="O160" s="223"/>
      <c r="P160" s="178"/>
      <c r="Q160" s="180" cm="1">
        <f t="array" ref="Q160">+SUMPRODUCT(('Réel 2024'!$A$8:$A$501=$A160)*('Réel 2024'!$C$3:$AO$3=Q$2),'Réel 2024'!$C$8:$AO$501)</f>
        <v>0</v>
      </c>
      <c r="R160" s="223"/>
      <c r="S160" s="197">
        <f t="shared" si="37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 cm="1">
        <f t="array" ref="F161">+SUMPRODUCT(('Budget original'!$A$8:$A$501=$A161)*('Budget original'!$C$3:$AO$3=F$2),'Budget original'!$C$8:$AO$501)</f>
        <v>0</v>
      </c>
      <c r="G161" s="269"/>
      <c r="H161" s="178"/>
      <c r="I161" s="179"/>
      <c r="J161" s="223"/>
      <c r="K161" s="178"/>
      <c r="L161" s="473">
        <f>-SUMIFS(BV_Data_An_Cour!$P:$P,BV_Data_An_Cour!$U:$U,$B161,BV_Data_An_Cour!$V:$V,$C161,BV_Data_An_Cour!$W:$W,$L$2)</f>
        <v>0</v>
      </c>
      <c r="M161" s="223"/>
      <c r="N161" s="225">
        <f t="shared" si="36"/>
        <v>0</v>
      </c>
      <c r="O161" s="223"/>
      <c r="P161" s="178"/>
      <c r="Q161" s="180" cm="1">
        <f t="array" ref="Q161">+SUMPRODUCT(('Réel 2024'!$A$8:$A$501=$A161)*('Réel 2024'!$C$3:$AO$3=Q$2),'Réel 2024'!$C$8:$AO$501)</f>
        <v>0</v>
      </c>
      <c r="R161" s="223"/>
      <c r="S161" s="197">
        <f t="shared" si="37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 cm="1">
        <f t="array" ref="F162">+SUMPRODUCT(('Budget original'!$A$8:$A$501=$A162)*('Budget original'!$C$3:$AO$3=F$2),'Budget original'!$C$8:$AO$501)</f>
        <v>0</v>
      </c>
      <c r="G162" s="269"/>
      <c r="H162" s="178"/>
      <c r="I162" s="179"/>
      <c r="J162" s="223"/>
      <c r="K162" s="178"/>
      <c r="L162" s="473">
        <f>-SUMIFS(BV_Data_An_Cour!$P:$P,BV_Data_An_Cour!$U:$U,$B162,BV_Data_An_Cour!$V:$V,$C162,BV_Data_An_Cour!$W:$W,$L$2)</f>
        <v>0</v>
      </c>
      <c r="M162" s="223"/>
      <c r="N162" s="225">
        <f t="shared" si="36"/>
        <v>0</v>
      </c>
      <c r="O162" s="223"/>
      <c r="P162" s="178"/>
      <c r="Q162" s="180" cm="1">
        <f t="array" ref="Q162">+SUMPRODUCT(('Réel 2024'!$A$8:$A$501=$A162)*('Réel 2024'!$C$3:$AO$3=Q$2),'Réel 2024'!$C$8:$AO$501)</f>
        <v>0</v>
      </c>
      <c r="R162" s="223"/>
      <c r="S162" s="197">
        <f t="shared" si="37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149291.25</v>
      </c>
      <c r="G163" s="42"/>
      <c r="H163" s="40"/>
      <c r="I163" s="41"/>
      <c r="J163" s="42"/>
      <c r="K163" s="40"/>
      <c r="L163" s="41">
        <f>+SUM(L156:L162)</f>
        <v>2975</v>
      </c>
      <c r="M163" s="44"/>
      <c r="N163" s="41">
        <f>SUM(N156:N159)</f>
        <v>-146316.25</v>
      </c>
      <c r="O163" s="42"/>
      <c r="P163" s="40"/>
      <c r="Q163" s="41">
        <f>+SUM(Q156:Q162)</f>
        <v>139445</v>
      </c>
      <c r="R163" s="44"/>
      <c r="S163" s="285">
        <f>+SUM(S156:S162)</f>
        <v>-136470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218147.20759391948</v>
      </c>
      <c r="G165" s="307"/>
      <c r="H165" s="305"/>
      <c r="I165" s="306"/>
      <c r="J165" s="308"/>
      <c r="K165" s="309"/>
      <c r="L165" s="306">
        <f>L108-L155+L163</f>
        <v>-2590.1399999999958</v>
      </c>
      <c r="M165" s="308"/>
      <c r="N165" s="306">
        <f>L165-F165</f>
        <v>-220737.34759391946</v>
      </c>
      <c r="O165" s="308"/>
      <c r="P165" s="309"/>
      <c r="Q165" s="306">
        <f>Q108-Q155+Q163</f>
        <v>114763.16999999911</v>
      </c>
      <c r="R165" s="308"/>
      <c r="S165" s="310">
        <f>L165-Q165</f>
        <v>-117353.30999999911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79" t="s">
        <v>77</v>
      </c>
      <c r="E170" s="1280"/>
      <c r="F170" s="1281"/>
      <c r="G170" s="1284"/>
      <c r="H170" s="1280"/>
      <c r="I170" s="1281"/>
      <c r="J170" s="1284" t="s">
        <v>78</v>
      </c>
      <c r="K170" s="1280"/>
      <c r="L170" s="1281"/>
      <c r="M170" s="1284" t="s">
        <v>2442</v>
      </c>
      <c r="N170" s="1281"/>
      <c r="O170" s="1279" t="s">
        <v>79</v>
      </c>
      <c r="P170" s="1280"/>
      <c r="Q170" s="1281"/>
      <c r="R170" s="1282" t="s">
        <v>2446</v>
      </c>
      <c r="S170" s="1283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8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2445</v>
      </c>
      <c r="N171" s="254" t="s">
        <v>2444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8"/>
        <v>ServiceM/O Client</v>
      </c>
      <c r="B172" s="24" t="s">
        <v>147</v>
      </c>
      <c r="C172" s="251" t="s">
        <v>151</v>
      </c>
      <c r="D172" s="1139" cm="1">
        <f t="array" ref="D172">+SUMPRODUCT(('Budget original'!$A$8:$A$501=$A172)*('Budget original'!$C$3:$AO$3=D$2),'Budget original'!$C$8:$AO$501)</f>
        <v>2350.0000000000005</v>
      </c>
      <c r="E172" s="195" cm="1">
        <f t="array" ref="E172">+SUMPRODUCT(('Budget original'!$A$8:$A$501=$A172)*('Budget original'!$C$3:$AO$3=E$2),'Budget original'!$C$8:$AO$501)</f>
        <v>799000</v>
      </c>
      <c r="F172" s="195" cm="1">
        <f t="array" ref="F172">+SUMPRODUCT(('Budget original'!$A$8:$A$501=$A172)*('Budget original'!$C$3:$AO$3=F$2),'Budget original'!$C$8:$AO$501)</f>
        <v>626416</v>
      </c>
      <c r="G172" s="311"/>
      <c r="H172" s="195"/>
      <c r="I172" s="195"/>
      <c r="J172" s="224">
        <f>-SUMIFS(BV_Data_An_Cour!$P:$P,BV_Data_An_Cour!$U:$U,$B172,BV_Data_An_Cour!$V:$V,$C172,BV_Data_An_Cour!$W:$W,J$2)</f>
        <v>122</v>
      </c>
      <c r="K172" s="179">
        <f>-SUMIFS(BV_Data_An_Cour!$P:$P,BV_Data_An_Cour!$X:$X,"Oui",BV_Data_An_Cour!$U:$U,$B172,BV_Data_An_Cour!$V:$V,$C172)</f>
        <v>43642.539999999994</v>
      </c>
      <c r="L172" s="180">
        <f>-SUMIFS(BV_Data_An_Cour!$P:$P,BV_Data_An_Cour!$U:$U,$B172,BV_Data_An_Cour!$V:$V,$C172,BV_Data_An_Cour!$W:$W,$L$2)</f>
        <v>33796.769999999997</v>
      </c>
      <c r="M172" s="293">
        <f>(K172-E172)/E172</f>
        <v>-0.94537854818523148</v>
      </c>
      <c r="N172" s="225">
        <f>L172-F172</f>
        <v>-592619.23</v>
      </c>
      <c r="O172" s="224" cm="1">
        <f t="array" ref="O172">+SUMPRODUCT(('Réel 2024'!$A$8:$A$501=$A172)*('Réel 2024'!$C$3:$AO$3=O$2),'Réel 2024'!$C$8:$AO$501)</f>
        <v>2294</v>
      </c>
      <c r="P172" s="179" cm="1">
        <f t="array" ref="P172">+SUMPRODUCT(('Réel 2024'!$A$8:$A$501=$A172)*('Réel 2024'!$C$3:$AO$3=P$2),'Réel 2024'!$C$8:$AO$501)</f>
        <v>717602.00999999989</v>
      </c>
      <c r="Q172" s="180" cm="1">
        <f t="array" ref="Q172">+SUMPRODUCT(('Réel 2024'!$A$8:$A$501=$A172)*('Réel 2024'!$C$3:$AO$3=Q$2),'Réel 2024'!$C$8:$AO$501)</f>
        <v>567784.0499999997</v>
      </c>
      <c r="R172" s="293">
        <f>IF(O172=0,0,J172/O172)</f>
        <v>5.3182214472537057E-2</v>
      </c>
      <c r="S172" s="197">
        <f>L172-Q172</f>
        <v>-533987.27999999968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8"/>
        <v>Service% profit / ventes</v>
      </c>
      <c r="B173" s="24" t="s">
        <v>147</v>
      </c>
      <c r="C173" s="251" t="s">
        <v>152</v>
      </c>
      <c r="D173" s="1139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0.77439970267541725</v>
      </c>
      <c r="M173" s="293"/>
      <c r="N173" s="225"/>
      <c r="O173" s="224"/>
      <c r="P173" s="178"/>
      <c r="Q173" s="227">
        <f>Q172/P172</f>
        <v>0.79122416337713408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8"/>
        <v>Service</v>
      </c>
      <c r="B174" s="24" t="s">
        <v>147</v>
      </c>
      <c r="C174" s="294"/>
      <c r="D174" s="1140"/>
      <c r="E174" s="317">
        <f>IFERROR(E172/D172,0)</f>
        <v>339.99999999999994</v>
      </c>
      <c r="F174" s="318"/>
      <c r="G174" s="278"/>
      <c r="H174" s="317"/>
      <c r="I174" s="318"/>
      <c r="J174" s="302"/>
      <c r="K174" s="1265">
        <f>IFERROR(K172/J172,0)</f>
        <v>357.725737704918</v>
      </c>
      <c r="L174" s="318"/>
      <c r="M174" s="320"/>
      <c r="N174" s="279"/>
      <c r="O174" s="302"/>
      <c r="P174" s="495">
        <f>IFERROR(P172/O172,0)</f>
        <v>312.8169180470793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8"/>
        <v>ServiceM/O Garantie</v>
      </c>
      <c r="B175" s="24" t="s">
        <v>147</v>
      </c>
      <c r="C175" s="312" t="s">
        <v>153</v>
      </c>
      <c r="D175" s="1141" cm="1">
        <f t="array" ref="D175">+SUMPRODUCT(('Budget original'!$A$8:$A$501=$A175)*('Budget original'!$C$3:$AO$3=D$2),'Budget original'!$C$8:$AO$501)</f>
        <v>1949.9999999999998</v>
      </c>
      <c r="E175" s="195" cm="1">
        <f t="array" ref="E175">+SUMPRODUCT(('Budget original'!$A$8:$A$501=$A175)*('Budget original'!$C$3:$AO$3=E$2),'Budget original'!$C$8:$AO$501)</f>
        <v>284700</v>
      </c>
      <c r="F175" s="195" cm="1">
        <f t="array" ref="F175">+SUMPRODUCT(('Budget original'!$A$8:$A$501=$A175)*('Budget original'!$C$3:$AO$3=F$2),'Budget original'!$C$8:$AO$501)</f>
        <v>182208</v>
      </c>
      <c r="G175" s="314"/>
      <c r="H175" s="195"/>
      <c r="I175" s="195"/>
      <c r="J175" s="314">
        <f>-SUMIFS(BV_Data_An_Cour!$P:$P,BV_Data_An_Cour!$U:$U,$B175,BV_Data_An_Cour!$V:$V,$C175,BV_Data_An_Cour!$W:$W,J$2)</f>
        <v>179</v>
      </c>
      <c r="K175" s="186">
        <f>-SUMIFS(BV_Data_An_Cour!$P:$P,BV_Data_An_Cour!$X:$X,"Oui",BV_Data_An_Cour!$U:$U,$B175,BV_Data_An_Cour!$V:$V,$C175)</f>
        <v>23967.52</v>
      </c>
      <c r="L175" s="180">
        <f>-SUMIFS(BV_Data_An_Cour!$P:$P,BV_Data_An_Cour!$U:$U,$B175,BV_Data_An_Cour!$V:$V,$C175,BV_Data_An_Cour!$W:$W,$L$2)</f>
        <v>16036.509999999998</v>
      </c>
      <c r="M175" s="293">
        <f>(K175-E175)/E175</f>
        <v>-0.91581482262030212</v>
      </c>
      <c r="N175" s="274">
        <f>L175-F175</f>
        <v>-166171.49</v>
      </c>
      <c r="O175" s="314" cm="1">
        <f t="array" ref="O175">+SUMPRODUCT(('Réel 2024'!$A$8:$A$501=$A175)*('Réel 2024'!$C$3:$AO$3=O$2),'Réel 2024'!$C$8:$AO$501)</f>
        <v>1953</v>
      </c>
      <c r="P175" s="186" cm="1">
        <f t="array" ref="P175">+SUMPRODUCT(('Réel 2024'!$A$8:$A$501=$A175)*('Réel 2024'!$C$3:$AO$3=P$2),'Réel 2024'!$C$8:$AO$501)</f>
        <v>318109.99999999977</v>
      </c>
      <c r="Q175" s="180" cm="1">
        <f t="array" ref="Q175">+SUMPRODUCT(('Réel 2024'!$A$8:$A$501=$A175)*('Réel 2024'!$C$3:$AO$3=Q$2),'Réel 2024'!$C$8:$AO$501)</f>
        <v>214174.87999999971</v>
      </c>
      <c r="R175" s="293">
        <f>IF(O175=0,0,J175/O175)</f>
        <v>9.1653865847414237E-2</v>
      </c>
      <c r="S175" s="197">
        <f>L175-Q175</f>
        <v>-198138.3699999997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8"/>
        <v>Service% profit / ventes</v>
      </c>
      <c r="B176" s="24" t="s">
        <v>147</v>
      </c>
      <c r="C176" s="251" t="s">
        <v>152</v>
      </c>
      <c r="D176" s="1139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0.6690934230992609</v>
      </c>
      <c r="M176" s="235"/>
      <c r="N176" s="234"/>
      <c r="O176" s="223"/>
      <c r="P176" s="178"/>
      <c r="Q176" s="227">
        <f>Q175/P175</f>
        <v>0.67327301876709278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8"/>
        <v>Service</v>
      </c>
      <c r="B177" s="24" t="s">
        <v>147</v>
      </c>
      <c r="C177" s="294"/>
      <c r="D177" s="1140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8"/>
        <v>ServiceM/O Interne</v>
      </c>
      <c r="B178" s="24" t="s">
        <v>147</v>
      </c>
      <c r="C178" s="251" t="s">
        <v>154</v>
      </c>
      <c r="D178" s="1139" cm="1">
        <f t="array" ref="D178">+SUMPRODUCT(('Budget original'!$A$8:$A$501=$A178)*('Budget original'!$C$3:$AO$3=D$2),'Budget original'!$C$8:$AO$501)</f>
        <v>2100</v>
      </c>
      <c r="E178" s="195" cm="1">
        <f t="array" ref="E178">+SUMPRODUCT(('Budget original'!$A$8:$A$501=$A178)*('Budget original'!$C$3:$AO$3=E$2),'Budget original'!$C$8:$AO$501)</f>
        <v>504000.00000000006</v>
      </c>
      <c r="F178" s="195" cm="1">
        <f t="array" ref="F178">+SUMPRODUCT(('Budget original'!$A$8:$A$501=$A178)*('Budget original'!$C$3:$AO$3=F$2),'Budget original'!$C$8:$AO$501)</f>
        <v>340200.00000000006</v>
      </c>
      <c r="G178" s="223"/>
      <c r="H178" s="195"/>
      <c r="I178" s="195"/>
      <c r="J178" s="224">
        <f>-SUMIFS(BV_Data_An_Cour!$P:$P,BV_Data_An_Cour!$U:$U,$B178,BV_Data_An_Cour!$V:$V,$C178,BV_Data_An_Cour!$W:$W,J$2)</f>
        <v>82</v>
      </c>
      <c r="K178" s="186">
        <f>-SUMIFS(BV_Data_An_Cour!$P:$P,BV_Data_An_Cour!$X:$X,"Oui",BV_Data_An_Cour!$U:$U,$B178,BV_Data_An_Cour!$V:$V,$C178)</f>
        <v>27839.84</v>
      </c>
      <c r="L178" s="180">
        <f>-SUMIFS(BV_Data_An_Cour!$P:$P,BV_Data_An_Cour!$U:$U,$B178,BV_Data_An_Cour!$V:$V,$C178,BV_Data_An_Cour!$W:$W,$L$2)</f>
        <v>19376.63</v>
      </c>
      <c r="M178" s="293">
        <f>(K178-E178)/E178</f>
        <v>-0.94476222222222217</v>
      </c>
      <c r="N178" s="225">
        <f>L178-F178</f>
        <v>-320823.37000000005</v>
      </c>
      <c r="O178" s="224" cm="1">
        <f t="array" ref="O178">+SUMPRODUCT(('Réel 2024'!$A$8:$A$501=$A178)*('Réel 2024'!$C$3:$AO$3=O$2),'Réel 2024'!$C$8:$AO$501)</f>
        <v>2001</v>
      </c>
      <c r="P178" s="186" cm="1">
        <f t="array" ref="P178">+SUMPRODUCT(('Réel 2024'!$A$8:$A$501=$A178)*('Réel 2024'!$C$3:$AO$3=P$2),'Réel 2024'!$C$8:$AO$501)</f>
        <v>488203.61999999976</v>
      </c>
      <c r="Q178" s="180" cm="1">
        <f t="array" ref="Q178">+SUMPRODUCT(('Réel 2024'!$A$8:$A$501=$A178)*('Réel 2024'!$C$3:$AO$3=Q$2),'Réel 2024'!$C$8:$AO$501)</f>
        <v>302529.6799999997</v>
      </c>
      <c r="R178" s="293">
        <f>IF(O178=0,0,J178/O178)</f>
        <v>4.0979510244877559E-2</v>
      </c>
      <c r="S178" s="197">
        <f>L178-Q178</f>
        <v>-283153.0499999997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8"/>
        <v>Service% profit / ventes</v>
      </c>
      <c r="B179" s="24" t="s">
        <v>147</v>
      </c>
      <c r="C179" s="251" t="s">
        <v>152</v>
      </c>
      <c r="D179" s="1139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0.69600364082552202</v>
      </c>
      <c r="M179" s="293"/>
      <c r="N179" s="225">
        <f>L179-F179</f>
        <v>2.1003640825521974E-2</v>
      </c>
      <c r="O179" s="224"/>
      <c r="P179" s="226"/>
      <c r="Q179" s="227">
        <f>Q178/P178</f>
        <v>0.61967930512272695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8"/>
        <v>Service</v>
      </c>
      <c r="B180" s="24" t="s">
        <v>147</v>
      </c>
      <c r="C180" s="251"/>
      <c r="D180" s="1139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8"/>
        <v>ServiceM/O Esthétique</v>
      </c>
      <c r="B181" s="24" t="s">
        <v>147</v>
      </c>
      <c r="C181" s="312" t="s">
        <v>155</v>
      </c>
      <c r="D181" s="1141" cm="1">
        <f t="array" ref="D181">+SUMPRODUCT(('Budget original'!$A$8:$A$501=$A181)*('Budget original'!$C$3:$AO$3=D$2),'Budget original'!$C$8:$AO$501)</f>
        <v>700.00000000000011</v>
      </c>
      <c r="E181" s="195" cm="1">
        <f t="array" ref="E181">+SUMPRODUCT(('Budget original'!$A$8:$A$501=$A181)*('Budget original'!$C$3:$AO$3=E$2),'Budget original'!$C$8:$AO$501)</f>
        <v>140000</v>
      </c>
      <c r="F181" s="195" cm="1">
        <f t="array" ref="F181">+SUMPRODUCT(('Budget original'!$A$8:$A$501=$A181)*('Budget original'!$C$3:$AO$3=F$2),'Budget original'!$C$8:$AO$501)</f>
        <v>56000.000000000015</v>
      </c>
      <c r="G181" s="273"/>
      <c r="H181" s="195"/>
      <c r="I181" s="195"/>
      <c r="J181" s="314">
        <f>-SUMIFS(BV_Data_An_Cour!$P:$P,BV_Data_An_Cour!$U:$U,$B181,BV_Data_An_Cour!$V:$V,$C181,BV_Data_An_Cour!$W:$W,J$2)</f>
        <v>9</v>
      </c>
      <c r="K181" s="186">
        <f>-SUMIFS(BV_Data_An_Cour!$P:$P,BV_Data_An_Cour!$X:$X,"Oui",BV_Data_An_Cour!$U:$U,$B181,BV_Data_An_Cour!$V:$V,$C181)</f>
        <v>1950.8600000000001</v>
      </c>
      <c r="L181" s="181">
        <f>-SUMIFS(BV_Data_An_Cour!$P:$P,BV_Data_An_Cour!$U:$U,$B181,BV_Data_An_Cour!$V:$V,$C181,BV_Data_An_Cour!$W:$W,$L$2)</f>
        <v>1343.8600000000001</v>
      </c>
      <c r="M181" s="315">
        <f>IF(E181=0,0,(K181-E181)/E181)</f>
        <v>-0.98606528571428587</v>
      </c>
      <c r="N181" s="274">
        <f>L181-F181</f>
        <v>-54656.140000000014</v>
      </c>
      <c r="O181" s="314" cm="1">
        <f t="array" ref="O181">+SUMPRODUCT(('Réel 2024'!$A$8:$A$501=$A181)*('Réel 2024'!$C$3:$AO$3=O$2),'Réel 2024'!$C$8:$AO$501)</f>
        <v>660</v>
      </c>
      <c r="P181" s="186" cm="1">
        <f t="array" ref="P181">+SUMPRODUCT(('Réel 2024'!$A$8:$A$501=$A181)*('Réel 2024'!$C$3:$AO$3=P$2),'Réel 2024'!$C$8:$AO$501)</f>
        <v>125982.02999999997</v>
      </c>
      <c r="Q181" s="181" cm="1">
        <f t="array" ref="Q181">+SUMPRODUCT(('Réel 2024'!$A$8:$A$501=$A181)*('Réel 2024'!$C$3:$AO$3=Q$2),'Réel 2024'!$C$8:$AO$501)</f>
        <v>46632.649999999987</v>
      </c>
      <c r="R181" s="293">
        <f>IF(O181=0,0,J181/O181)</f>
        <v>1.3636363636363636E-2</v>
      </c>
      <c r="S181" s="199">
        <f>L181-Q181</f>
        <v>-45288.789999999986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8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0.40000000000000008</v>
      </c>
      <c r="G182" s="232"/>
      <c r="H182" s="229"/>
      <c r="I182" s="227"/>
      <c r="J182" s="228"/>
      <c r="K182" s="229">
        <f>IF(J181&lt;=0,0,L181/J181)</f>
        <v>149.31777777777779</v>
      </c>
      <c r="L182" s="227">
        <f>IF(L181=0,0,L181/K181)</f>
        <v>0.68885517156536091</v>
      </c>
      <c r="M182" s="224">
        <f>J182-D182</f>
        <v>0</v>
      </c>
      <c r="N182" s="230"/>
      <c r="O182" s="228"/>
      <c r="P182" s="229"/>
      <c r="Q182" s="227">
        <f>IFERROR(Q181/P181,0)</f>
        <v>0.37015318772050265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8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8"/>
        <v>ServiceAjustement M/O</v>
      </c>
      <c r="B184" s="24" t="s">
        <v>147</v>
      </c>
      <c r="C184" s="251" t="s">
        <v>156</v>
      </c>
      <c r="D184" s="178"/>
      <c r="E184" s="178"/>
      <c r="F184" s="225" cm="1">
        <f t="array" ref="F184">+SUMPRODUCT(('Budget original'!$A$8:$A$501=$A184)*('Budget original'!$C$3:$AO$3=F$2),'Budget original'!$C$8:$AO$501)</f>
        <v>-33326.424536349179</v>
      </c>
      <c r="G184" s="223"/>
      <c r="H184" s="195"/>
      <c r="I184" s="195"/>
      <c r="J184" s="224"/>
      <c r="K184" s="195"/>
      <c r="L184" s="195">
        <f>-SUMIFS(BV_Data_An_Cour!$P:$P,BV_Data_An_Cour!$U:$U,$B184,BV_Data_An_Cour!$V:$V,$C184,BV_Data_An_Cour!$W:$W,$L$2)</f>
        <v>-3692.2200000000003</v>
      </c>
      <c r="M184" s="228"/>
      <c r="N184" s="225">
        <f>L184-F184</f>
        <v>29634.204536349178</v>
      </c>
      <c r="O184" s="224"/>
      <c r="P184" s="195"/>
      <c r="Q184" s="195" cm="1">
        <f t="array" ref="Q184">+SUMPRODUCT(('Réel 2024'!$A$8:$A$501=$A184)*('Réel 2024'!$C$3:$AO$3=Q$2),'Réel 2024'!$C$8:$AO$501)</f>
        <v>-30929.62</v>
      </c>
      <c r="R184" s="207"/>
      <c r="S184" s="197">
        <f>L184-Q184</f>
        <v>27237.399999999998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8"/>
        <v>ServiceSous-total M/O</v>
      </c>
      <c r="B185" s="24" t="s">
        <v>147</v>
      </c>
      <c r="C185" s="333" t="s">
        <v>157</v>
      </c>
      <c r="D185" s="58">
        <f t="shared" ref="D185" si="39">D172+D175+D178+D181+D184</f>
        <v>7100</v>
      </c>
      <c r="E185" s="58">
        <f>E172+E175+E178+E181+E184</f>
        <v>1727700</v>
      </c>
      <c r="F185" s="59">
        <f t="shared" ref="F185" si="40">F172+F175+F178+F181+F184</f>
        <v>1171497.5754636507</v>
      </c>
      <c r="G185" s="60"/>
      <c r="H185" s="58"/>
      <c r="I185" s="59"/>
      <c r="J185" s="60">
        <f>J172+J175+J178+J181+J184</f>
        <v>392</v>
      </c>
      <c r="K185" s="58">
        <f>K172+K175+K178+K181+K184</f>
        <v>97400.76</v>
      </c>
      <c r="L185" s="59">
        <f>L172+L175+L178+L181+L184</f>
        <v>66861.55</v>
      </c>
      <c r="M185" s="61">
        <f>(K185-E185)/E185</f>
        <v>-0.94362403194999134</v>
      </c>
      <c r="N185" s="59">
        <f>L185-F185</f>
        <v>-1104636.0254636507</v>
      </c>
      <c r="O185" s="60">
        <f t="shared" ref="O185" si="41">O172+O175+O178+O181+O184</f>
        <v>6908</v>
      </c>
      <c r="P185" s="58">
        <f>P172+P175+P178+P181+P184</f>
        <v>1649897.6599999995</v>
      </c>
      <c r="Q185" s="59">
        <f t="shared" ref="Q185" si="42">Q172+Q175+Q178+Q181+Q184</f>
        <v>1100191.639999999</v>
      </c>
      <c r="R185" s="334">
        <f>IF(O185=0,0,J185/O185)</f>
        <v>5.6745801968731906E-2</v>
      </c>
      <c r="S185" s="335">
        <f>L185-Q185</f>
        <v>-1033330.0899999989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8"/>
        <v>Service% protit / ventes</v>
      </c>
      <c r="B186" s="24" t="s">
        <v>147</v>
      </c>
      <c r="C186" s="336" t="s">
        <v>158</v>
      </c>
      <c r="D186" s="62"/>
      <c r="E186" s="62">
        <f>IF(D185=0,0,E185/D185)</f>
        <v>243.33802816901408</v>
      </c>
      <c r="F186" s="63">
        <f>F185/E185</f>
        <v>0.6780677058885517</v>
      </c>
      <c r="G186" s="64"/>
      <c r="H186" s="62"/>
      <c r="I186" s="234"/>
      <c r="J186" s="64"/>
      <c r="K186" s="65">
        <f>IF(J185=0,0,K185/J185)</f>
        <v>248.47132653061223</v>
      </c>
      <c r="L186" s="234">
        <f>IF(L185=0,0,L185/K185)</f>
        <v>0.68645819601407632</v>
      </c>
      <c r="M186" s="64"/>
      <c r="N186" s="63">
        <f>N185/F185</f>
        <v>-0.9429264290422984</v>
      </c>
      <c r="O186" s="64"/>
      <c r="P186" s="65">
        <f>IF(O185=0,0,P185/O185)</f>
        <v>238.83868847712787</v>
      </c>
      <c r="Q186" s="234">
        <f>Q185/P185</f>
        <v>0.66682417138527206</v>
      </c>
      <c r="R186" s="64"/>
      <c r="S186" s="262">
        <f>IF(R185=0,0,S185/R185)</f>
        <v>-18209806.79010202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8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8"/>
        <v>ServiceSous-traitement</v>
      </c>
      <c r="B188" s="24" t="s">
        <v>147</v>
      </c>
      <c r="C188" s="251" t="s">
        <v>159</v>
      </c>
      <c r="D188" s="195"/>
      <c r="E188" s="195" cm="1">
        <f t="array" ref="E188">+SUMPRODUCT(('Budget original'!$A$8:$A$501=$A188)*('Budget original'!$C$3:$AO$3=E$2),'Budget original'!$C$8:$AO$501)</f>
        <v>88479.999999999985</v>
      </c>
      <c r="F188" s="195" cm="1">
        <f t="array" ref="F188">+SUMPRODUCT(('Budget original'!$A$8:$A$501=$A188)*('Budget original'!$C$3:$AO$3=F$2),'Budget original'!$C$8:$AO$501)</f>
        <v>10175.200000000003</v>
      </c>
      <c r="G188" s="224"/>
      <c r="H188" s="195"/>
      <c r="I188" s="195"/>
      <c r="J188" s="224"/>
      <c r="K188" s="179">
        <f>-SUMIFS(BV_Data_An_Cour!$P:$P,BV_Data_An_Cour!$X:$X,"Oui",BV_Data_An_Cour!$U:$U,$B188,BV_Data_An_Cour!$V:$V,$C188)</f>
        <v>331.8</v>
      </c>
      <c r="L188" s="180">
        <f>-SUMIFS(BV_Data_An_Cour!$P:$P,BV_Data_An_Cour!$U:$U,$B188,BV_Data_An_Cour!$V:$V,$C188,BV_Data_An_Cour!$W:$W,$L$2)</f>
        <v>0</v>
      </c>
      <c r="M188" s="447">
        <f>IF(E188=0,0,(K188-E188)/E188)</f>
        <v>-0.99624999999999997</v>
      </c>
      <c r="N188" s="225">
        <f>L188-F188</f>
        <v>-10175.200000000003</v>
      </c>
      <c r="O188" s="224"/>
      <c r="P188" s="179" cm="1">
        <f t="array" ref="P188">+SUMPRODUCT(('Réel 2024'!$A$8:$A$501=$A188)*('Réel 2024'!$C$3:$AO$3=P$2),'Réel 2024'!$C$8:$AO$501)</f>
        <v>49996.279999999897</v>
      </c>
      <c r="Q188" s="180" cm="1">
        <f t="array" ref="Q188">+SUMPRODUCT(('Réel 2024'!$A$8:$A$501=$A188)*('Réel 2024'!$C$3:$AO$3=Q$2),'Réel 2024'!$C$8:$AO$501)</f>
        <v>2784.1699999999992</v>
      </c>
      <c r="R188" s="293">
        <f>IF(O188=0,0,J188/O188)</f>
        <v>0</v>
      </c>
      <c r="S188" s="197">
        <f>L188-Q188</f>
        <v>-2784.1699999999992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8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0.11500000000000005</v>
      </c>
      <c r="G189" s="223"/>
      <c r="H189" s="226"/>
      <c r="I189" s="227"/>
      <c r="J189" s="228"/>
      <c r="K189" s="229"/>
      <c r="L189" s="227">
        <f>IF(L188=0,0,L188/K188)</f>
        <v>0</v>
      </c>
      <c r="M189" s="228"/>
      <c r="N189" s="230"/>
      <c r="O189" s="228"/>
      <c r="P189" s="229"/>
      <c r="Q189" s="227">
        <f>IFERROR(Q188/P188,0)</f>
        <v>5.56875431532107E-2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8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8"/>
        <v>ServiceM.O. Recond. MCPA</v>
      </c>
      <c r="B191" s="24" t="s">
        <v>147</v>
      </c>
      <c r="C191" s="251" t="s">
        <v>160</v>
      </c>
      <c r="D191" s="178"/>
      <c r="E191" s="195" cm="1">
        <f t="array" ref="E191">+SUMPRODUCT(('Budget original'!$A$8:$A$501=$A191)*('Budget original'!$C$3:$AO$3=E$2),'Budget original'!$C$8:$AO$501)</f>
        <v>0</v>
      </c>
      <c r="F191" s="195">
        <v>0</v>
      </c>
      <c r="G191" s="223"/>
      <c r="H191" s="195"/>
      <c r="I191" s="195"/>
      <c r="J191" s="228"/>
      <c r="K191" s="179">
        <f>-SUMIFS(BV_Data_An_Cour!$P:$P,BV_Data_An_Cour!$X:$X,"Oui",BV_Data_An_Cour!$U:$U,$B191,BV_Data_An_Cour!$V:$V,$C191)</f>
        <v>0</v>
      </c>
      <c r="L191" s="227"/>
      <c r="M191" s="228"/>
      <c r="N191" s="230"/>
      <c r="O191" s="228"/>
      <c r="P191" s="179" cm="1">
        <f t="array" ref="P191">+SUMPRODUCT(('Réel 2024'!$A$8:$A$501=$A191)*('Réel 2024'!$C$3:$AO$3=P$2),'Réel 2024'!$C$8:$AO$501)</f>
        <v>0</v>
      </c>
      <c r="Q191" s="227"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8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8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8"/>
        <v>ServiceTotal Mécanique</v>
      </c>
      <c r="B194" s="24" t="s">
        <v>147</v>
      </c>
      <c r="C194" s="256" t="s">
        <v>161</v>
      </c>
      <c r="D194" s="26"/>
      <c r="E194" s="26">
        <f t="shared" ref="E194:F194" si="43">E185+E188+E191</f>
        <v>1816180</v>
      </c>
      <c r="F194" s="28">
        <f t="shared" si="43"/>
        <v>1181672.7754636507</v>
      </c>
      <c r="G194" s="29"/>
      <c r="H194" s="26"/>
      <c r="I194" s="28"/>
      <c r="J194" s="29"/>
      <c r="K194" s="26">
        <f>K185+K188+K191</f>
        <v>97732.56</v>
      </c>
      <c r="L194" s="28">
        <f>L185+L188+L191</f>
        <v>66861.55</v>
      </c>
      <c r="M194" s="70">
        <f>L195-F195</f>
        <v>3.3491307619420763E-2</v>
      </c>
      <c r="N194" s="28">
        <f>L194-F194</f>
        <v>-1114811.2254636507</v>
      </c>
      <c r="O194" s="29"/>
      <c r="P194" s="26">
        <f t="shared" ref="P194:Q194" si="44">P185+P188+P191</f>
        <v>1699893.9399999992</v>
      </c>
      <c r="Q194" s="28">
        <f t="shared" si="44"/>
        <v>1102975.8099999989</v>
      </c>
      <c r="R194" s="70">
        <f>L195-Q195</f>
        <v>3.5277904182895892E-2</v>
      </c>
      <c r="S194" s="321">
        <f>L194-Q194</f>
        <v>-1036114.2599999988</v>
      </c>
      <c r="T194" s="231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8"/>
        <v>Service</v>
      </c>
      <c r="B195" s="24" t="s">
        <v>147</v>
      </c>
      <c r="C195" s="322"/>
      <c r="D195" s="323"/>
      <c r="E195" s="323"/>
      <c r="F195" s="34">
        <f>F194/E194</f>
        <v>0.65063637715625688</v>
      </c>
      <c r="G195" s="31"/>
      <c r="H195" s="323"/>
      <c r="I195" s="34"/>
      <c r="J195" s="31"/>
      <c r="K195" s="323"/>
      <c r="L195" s="34">
        <f>L194/K194</f>
        <v>0.68412768477567765</v>
      </c>
      <c r="M195" s="33"/>
      <c r="N195" s="34">
        <f>N194/F194</f>
        <v>-0.94341788066178833</v>
      </c>
      <c r="O195" s="31"/>
      <c r="P195" s="323"/>
      <c r="Q195" s="34">
        <f>Q194/P194</f>
        <v>0.64884978059278176</v>
      </c>
      <c r="R195" s="33"/>
      <c r="S195" s="259">
        <f>L194/S194</f>
        <v>-6.4531058572632791E-2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8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8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8"/>
        <v>ServiceSalaires cadres</v>
      </c>
      <c r="B198" s="24" t="s">
        <v>147</v>
      </c>
      <c r="C198" s="267" t="s">
        <v>109</v>
      </c>
      <c r="D198" s="178"/>
      <c r="E198" s="178"/>
      <c r="F198" s="179" cm="1">
        <f t="array" ref="F198">+SUMPRODUCT(('Budget original'!$A$8:$A$501=$A198)*('Budget original'!$C$3:$AO$3=F$2),'Budget original'!$C$8:$AO$501)</f>
        <v>124254.29230769232</v>
      </c>
      <c r="G198" s="223"/>
      <c r="H198" s="178"/>
      <c r="I198" s="179"/>
      <c r="J198" s="223"/>
      <c r="K198" s="178"/>
      <c r="L198" s="180">
        <f>SUMIFS(BV_Data_An_Cour!$P:$P,BV_Data_An_Cour!$U:$U,$B198,BV_Data_An_Cour!$V:$V,$C198,BV_Data_An_Cour!$W:$W,$L$2)</f>
        <v>12026.53</v>
      </c>
      <c r="M198" s="223"/>
      <c r="N198" s="225">
        <f t="shared" ref="N198:N229" si="45">L198-F198</f>
        <v>-112227.76230769232</v>
      </c>
      <c r="O198" s="223"/>
      <c r="P198" s="178"/>
      <c r="Q198" s="180" cm="1">
        <f t="array" ref="Q198">+SUMPRODUCT(('Réel 2024'!$A$8:$A$501=$A198)*('Réel 2024'!$C$3:$AO$3=Q$2),'Réel 2024'!$C$8:$AO$501)</f>
        <v>106449.18</v>
      </c>
      <c r="R198" s="223"/>
      <c r="S198" s="197">
        <f>L198-Q198</f>
        <v>-94422.65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8"/>
        <v>ServiceSalaires commis</v>
      </c>
      <c r="B199" s="24" t="s">
        <v>147</v>
      </c>
      <c r="C199" s="268" t="s">
        <v>110</v>
      </c>
      <c r="D199" s="249"/>
      <c r="E199" s="178"/>
      <c r="F199" s="177" cm="1">
        <f t="array" ref="F199">+SUMPRODUCT(('Budget original'!$A$8:$A$501=$A199)*('Budget original'!$C$3:$AO$3=F$2),'Budget original'!$C$8:$AO$501)</f>
        <v>67125.25</v>
      </c>
      <c r="G199" s="269"/>
      <c r="H199" s="178"/>
      <c r="I199" s="177"/>
      <c r="J199" s="223"/>
      <c r="K199" s="178"/>
      <c r="L199" s="180">
        <f>SUMIFS(BV_Data_An_Cour!$P:$P,BV_Data_An_Cour!$U:$U,$B199,BV_Data_An_Cour!$V:$V,$C199,BV_Data_An_Cour!$W:$W,$L$2)</f>
        <v>2381.37</v>
      </c>
      <c r="M199" s="223"/>
      <c r="N199" s="225">
        <f t="shared" si="45"/>
        <v>-64743.88</v>
      </c>
      <c r="O199" s="223"/>
      <c r="P199" s="178"/>
      <c r="Q199" s="180" cm="1">
        <f t="array" ref="Q199">+SUMPRODUCT(('Réel 2024'!$A$8:$A$501=$A199)*('Réel 2024'!$C$3:$AO$3=Q$2),'Réel 2024'!$C$8:$AO$501)</f>
        <v>58715.180000000008</v>
      </c>
      <c r="R199" s="223"/>
      <c r="S199" s="197">
        <f t="shared" ref="S199:S229" si="46">L199-Q199</f>
        <v>-56333.810000000005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8"/>
        <v>ServiceSalaires autres</v>
      </c>
      <c r="B200" s="24" t="s">
        <v>147</v>
      </c>
      <c r="C200" s="267" t="s">
        <v>111</v>
      </c>
      <c r="D200" s="270"/>
      <c r="E200" s="271"/>
      <c r="F200" s="179" cm="1">
        <f t="array" ref="F200">+SUMPRODUCT(('Budget original'!$A$8:$A$501=$A200)*('Budget original'!$C$3:$AO$3=F$2),'Budget original'!$C$8:$AO$501)</f>
        <v>69357</v>
      </c>
      <c r="G200" s="272"/>
      <c r="H200" s="271"/>
      <c r="I200" s="179"/>
      <c r="J200" s="273"/>
      <c r="K200" s="271"/>
      <c r="L200" s="181">
        <f>SUMIFS(BV_Data_An_Cour!$P:$P,BV_Data_An_Cour!$U:$U,$B200,BV_Data_An_Cour!$V:$V,$C200,BV_Data_An_Cour!$W:$W,$L$2)</f>
        <v>5793.79</v>
      </c>
      <c r="M200" s="273"/>
      <c r="N200" s="274">
        <f t="shared" si="45"/>
        <v>-63563.21</v>
      </c>
      <c r="O200" s="273"/>
      <c r="P200" s="271"/>
      <c r="Q200" s="181" cm="1">
        <f t="array" ref="Q200">+SUMPRODUCT(('Réel 2024'!$A$8:$A$501=$A200)*('Réel 2024'!$C$3:$AO$3=Q$2),'Réel 2024'!$C$8:$AO$501)</f>
        <v>66716.289999999994</v>
      </c>
      <c r="R200" s="273"/>
      <c r="S200" s="199">
        <f t="shared" si="46"/>
        <v>-60922.499999999993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8"/>
        <v>ServiceSalaires spécialistes</v>
      </c>
      <c r="B201" s="24" t="s">
        <v>147</v>
      </c>
      <c r="C201" s="267" t="s">
        <v>112</v>
      </c>
      <c r="D201" s="249"/>
      <c r="E201" s="178"/>
      <c r="F201" s="179" cm="1">
        <f t="array" ref="F201">+SUMPRODUCT(('Budget original'!$A$8:$A$501=$A201)*('Budget original'!$C$3:$AO$3=F$2),'Budget original'!$C$8:$AO$501)</f>
        <v>172166.052</v>
      </c>
      <c r="G201" s="269"/>
      <c r="H201" s="178"/>
      <c r="I201" s="179"/>
      <c r="J201" s="223"/>
      <c r="K201" s="178"/>
      <c r="L201" s="180">
        <f>SUMIFS(BV_Data_An_Cour!$P:$P,BV_Data_An_Cour!$U:$U,$B201,BV_Data_An_Cour!$V:$V,$C201,BV_Data_An_Cour!$W:$W,$L$2)</f>
        <v>12308.67</v>
      </c>
      <c r="M201" s="223"/>
      <c r="N201" s="225">
        <f t="shared" si="45"/>
        <v>-159857.38199999998</v>
      </c>
      <c r="O201" s="223"/>
      <c r="P201" s="178"/>
      <c r="Q201" s="180" cm="1">
        <f t="array" ref="Q201">+SUMPRODUCT(('Réel 2024'!$A$8:$A$501=$A201)*('Réel 2024'!$C$3:$AO$3=Q$2),'Réel 2024'!$C$8:$AO$501)</f>
        <v>145388.35999999999</v>
      </c>
      <c r="R201" s="223"/>
      <c r="S201" s="197">
        <f t="shared" si="46"/>
        <v>-133079.68999999997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8"/>
        <v>Service[...]</v>
      </c>
      <c r="B202" s="24" t="s">
        <v>147</v>
      </c>
      <c r="C202" s="251" t="s">
        <v>42</v>
      </c>
      <c r="D202" s="249"/>
      <c r="E202" s="178"/>
      <c r="F202" s="179" cm="1">
        <f t="array" ref="F202">+SUMPRODUCT(('Budget original'!$A$8:$A$501=$A202)*('Budget original'!$C$3:$AO$3=F$2),'Budget original'!$C$8:$AO$501)</f>
        <v>0</v>
      </c>
      <c r="G202" s="269"/>
      <c r="H202" s="178"/>
      <c r="I202" s="179"/>
      <c r="J202" s="223"/>
      <c r="K202" s="178"/>
      <c r="L202" s="180">
        <f>SUMIFS(BV_Data_An_Cour!$P:$P,BV_Data_An_Cour!$U:$U,$B202,BV_Data_An_Cour!$V:$V,$C202,BV_Data_An_Cour!$W:$W,$L$2)</f>
        <v>0</v>
      </c>
      <c r="M202" s="223"/>
      <c r="N202" s="225">
        <f t="shared" si="45"/>
        <v>0</v>
      </c>
      <c r="O202" s="223"/>
      <c r="P202" s="178"/>
      <c r="Q202" s="180" cm="1">
        <f t="array" ref="Q202">+SUMPRODUCT(('Réel 2024'!$A$8:$A$501=$A202)*('Réel 2024'!$C$3:$AO$3=Q$2),'Réel 2024'!$C$8:$AO$501)</f>
        <v>0</v>
      </c>
      <c r="R202" s="223"/>
      <c r="S202" s="197">
        <f t="shared" si="46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8"/>
        <v>Service[...]</v>
      </c>
      <c r="B203" s="24" t="s">
        <v>147</v>
      </c>
      <c r="C203" s="251" t="s">
        <v>42</v>
      </c>
      <c r="D203" s="249"/>
      <c r="E203" s="178"/>
      <c r="F203" s="179" cm="1">
        <f t="array" ref="F203">+SUMPRODUCT(('Budget original'!$A$8:$A$501=$A203)*('Budget original'!$C$3:$AO$3=F$2),'Budget original'!$C$8:$AO$501)</f>
        <v>0</v>
      </c>
      <c r="G203" s="269"/>
      <c r="H203" s="178"/>
      <c r="I203" s="179"/>
      <c r="J203" s="223"/>
      <c r="K203" s="178"/>
      <c r="L203" s="180">
        <f>SUMIFS(BV_Data_An_Cour!$P:$P,BV_Data_An_Cour!$U:$U,$B203,BV_Data_An_Cour!$V:$V,$C203,BV_Data_An_Cour!$W:$W,$L$2)</f>
        <v>0</v>
      </c>
      <c r="M203" s="223"/>
      <c r="N203" s="225">
        <f t="shared" si="45"/>
        <v>0</v>
      </c>
      <c r="O203" s="223"/>
      <c r="P203" s="178"/>
      <c r="Q203" s="180" cm="1">
        <f t="array" ref="Q203">+SUMPRODUCT(('Réel 2024'!$A$8:$A$501=$A203)*('Réel 2024'!$C$3:$AO$3=Q$2),'Réel 2024'!$C$8:$AO$501)</f>
        <v>0</v>
      </c>
      <c r="R203" s="223"/>
      <c r="S203" s="197">
        <f t="shared" si="46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8"/>
        <v>Service[...]</v>
      </c>
      <c r="B204" s="24" t="s">
        <v>147</v>
      </c>
      <c r="C204" s="251" t="s">
        <v>42</v>
      </c>
      <c r="D204" s="249"/>
      <c r="E204" s="178"/>
      <c r="F204" s="179" cm="1">
        <f t="array" ref="F204">+SUMPRODUCT(('Budget original'!$A$8:$A$501=$A204)*('Budget original'!$C$3:$AO$3=F$2),'Budget original'!$C$8:$AO$501)</f>
        <v>0</v>
      </c>
      <c r="G204" s="269"/>
      <c r="H204" s="178"/>
      <c r="I204" s="179"/>
      <c r="J204" s="223"/>
      <c r="K204" s="178"/>
      <c r="L204" s="180">
        <f>SUMIFS(BV_Data_An_Cour!$P:$P,BV_Data_An_Cour!$U:$U,$B204,BV_Data_An_Cour!$V:$V,$C204,BV_Data_An_Cour!$W:$W,$L$2)</f>
        <v>0</v>
      </c>
      <c r="M204" s="223"/>
      <c r="N204" s="225">
        <f t="shared" si="45"/>
        <v>0</v>
      </c>
      <c r="O204" s="223"/>
      <c r="P204" s="178"/>
      <c r="Q204" s="180" cm="1">
        <f t="array" ref="Q204">+SUMPRODUCT(('Réel 2024'!$A$8:$A$501=$A204)*('Réel 2024'!$C$3:$AO$3=Q$2),'Réel 2024'!$C$8:$AO$501)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8"/>
        <v>ServiceSalaires en absences</v>
      </c>
      <c r="B205" s="24" t="s">
        <v>147</v>
      </c>
      <c r="C205" s="268" t="s">
        <v>113</v>
      </c>
      <c r="D205" s="249"/>
      <c r="E205" s="178"/>
      <c r="F205" s="179" cm="1">
        <f t="array" ref="F205">+SUMPRODUCT(('Budget original'!$A$8:$A$501=$A205)*('Budget original'!$C$3:$AO$3=F$2),'Budget original'!$C$8:$AO$501)</f>
        <v>119491.44347568029</v>
      </c>
      <c r="G205" s="269"/>
      <c r="H205" s="178"/>
      <c r="I205" s="179"/>
      <c r="J205" s="223"/>
      <c r="K205" s="178"/>
      <c r="L205" s="180">
        <f>SUMIFS(BV_Data_An_Cour!$P:$P,BV_Data_An_Cour!$U:$U,$B205,BV_Data_An_Cour!$V:$V,$C205,BV_Data_An_Cour!$W:$W,$L$2)</f>
        <v>11652.52</v>
      </c>
      <c r="M205" s="223"/>
      <c r="N205" s="225">
        <f t="shared" si="45"/>
        <v>-107838.92347568029</v>
      </c>
      <c r="O205" s="223"/>
      <c r="P205" s="178"/>
      <c r="Q205" s="180" cm="1">
        <f t="array" ref="Q205">+SUMPRODUCT(('Réel 2024'!$A$8:$A$501=$A205)*('Réel 2024'!$C$3:$AO$3=Q$2),'Réel 2024'!$C$8:$AO$501)</f>
        <v>94283.599999999991</v>
      </c>
      <c r="R205" s="223"/>
      <c r="S205" s="197">
        <f>L205-Q205</f>
        <v>-82631.079999999987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8"/>
        <v>ServiceDéduction à la source</v>
      </c>
      <c r="B206" s="24" t="s">
        <v>147</v>
      </c>
      <c r="C206" s="267" t="s">
        <v>114</v>
      </c>
      <c r="D206" s="270"/>
      <c r="E206" s="271"/>
      <c r="F206" s="374" cm="1">
        <f t="array" ref="F206">+SUMPRODUCT(('Budget original'!$A$8:$A$501=$A206)*('Budget original'!$C$3:$AO$3=F$2),'Budget original'!$C$8:$AO$501)</f>
        <v>138386.34735402188</v>
      </c>
      <c r="G206" s="272"/>
      <c r="H206" s="271"/>
      <c r="I206" s="374"/>
      <c r="J206" s="273"/>
      <c r="K206" s="271"/>
      <c r="L206" s="181">
        <f>SUMIFS(BV_Data_An_Cour!$P:$P,BV_Data_An_Cour!$U:$U,$B206,BV_Data_An_Cour!$V:$V,$C206,BV_Data_An_Cour!$W:$W,$L$2)</f>
        <v>11409.93</v>
      </c>
      <c r="M206" s="273"/>
      <c r="N206" s="274">
        <f t="shared" si="45"/>
        <v>-126976.41735402189</v>
      </c>
      <c r="O206" s="273"/>
      <c r="P206" s="271"/>
      <c r="Q206" s="181" cm="1">
        <f t="array" ref="Q206">+SUMPRODUCT(('Réel 2024'!$A$8:$A$501=$A206)*('Réel 2024'!$C$3:$AO$3=Q$2),'Réel 2024'!$C$8:$AO$501)</f>
        <v>119091.77000000002</v>
      </c>
      <c r="R206" s="273"/>
      <c r="S206" s="199">
        <f t="shared" si="46"/>
        <v>-107681.84000000003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8"/>
        <v>ServiceBénéfices marginaux</v>
      </c>
      <c r="B207" s="24" t="s">
        <v>147</v>
      </c>
      <c r="C207" s="267" t="s">
        <v>115</v>
      </c>
      <c r="D207" s="249"/>
      <c r="E207" s="178"/>
      <c r="F207" s="179" cm="1">
        <f t="array" ref="F207">+SUMPRODUCT(('Budget original'!$A$8:$A$501=$A207)*('Budget original'!$C$3:$AO$3=F$2),'Budget original'!$C$8:$AO$501)</f>
        <v>72294.054037369235</v>
      </c>
      <c r="G207" s="269"/>
      <c r="H207" s="178"/>
      <c r="I207" s="179"/>
      <c r="J207" s="223"/>
      <c r="K207" s="178"/>
      <c r="L207" s="180">
        <f>SUMIFS(BV_Data_An_Cour!$P:$P,BV_Data_An_Cour!$U:$U,$B207,BV_Data_An_Cour!$V:$V,$C207,BV_Data_An_Cour!$W:$W,$L$2)</f>
        <v>5048.84</v>
      </c>
      <c r="M207" s="223"/>
      <c r="N207" s="225">
        <f t="shared" si="45"/>
        <v>-67245.214037369238</v>
      </c>
      <c r="O207" s="223"/>
      <c r="P207" s="178"/>
      <c r="Q207" s="180" cm="1">
        <f t="array" ref="Q207">+SUMPRODUCT(('Réel 2024'!$A$8:$A$501=$A207)*('Réel 2024'!$C$3:$AO$3=Q$2),'Réel 2024'!$C$8:$AO$501)</f>
        <v>51275.560000000005</v>
      </c>
      <c r="R207" s="223"/>
      <c r="S207" s="197">
        <f t="shared" si="46"/>
        <v>-46226.720000000001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8"/>
        <v>ServiceCsst</v>
      </c>
      <c r="B208" s="24" t="s">
        <v>147</v>
      </c>
      <c r="C208" s="267" t="s">
        <v>116</v>
      </c>
      <c r="D208" s="249"/>
      <c r="E208" s="178"/>
      <c r="F208" s="179" cm="1">
        <f t="array" ref="F208">+SUMPRODUCT(('Budget original'!$A$8:$A$501=$A208)*('Budget original'!$C$3:$AO$3=F$2),'Budget original'!$C$8:$AO$501)</f>
        <v>15491.583008007692</v>
      </c>
      <c r="G208" s="269"/>
      <c r="H208" s="178"/>
      <c r="I208" s="179"/>
      <c r="J208" s="223"/>
      <c r="K208" s="178"/>
      <c r="L208" s="180">
        <f>SUMIFS(BV_Data_An_Cour!$P:$P,BV_Data_An_Cour!$U:$U,$B208,BV_Data_An_Cour!$V:$V,$C208,BV_Data_An_Cour!$W:$W,$L$2)</f>
        <v>2414.58</v>
      </c>
      <c r="M208" s="746"/>
      <c r="N208" s="194">
        <f t="shared" si="45"/>
        <v>-13077.003008007692</v>
      </c>
      <c r="O208" s="746"/>
      <c r="P208" s="747"/>
      <c r="Q208" s="177" cm="1">
        <f t="array" ref="Q208">+SUMPRODUCT(('Réel 2024'!$A$8:$A$501=$A208)*('Réel 2024'!$C$3:$AO$3=Q$2),'Réel 2024'!$C$8:$AO$501)</f>
        <v>14532.21</v>
      </c>
      <c r="R208" s="746"/>
      <c r="S208" s="748">
        <f t="shared" si="46"/>
        <v>-12117.63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8"/>
        <v>Service[...]</v>
      </c>
      <c r="B209" s="24" t="s">
        <v>147</v>
      </c>
      <c r="C209" s="251" t="s">
        <v>42</v>
      </c>
      <c r="D209" s="275"/>
      <c r="E209" s="276"/>
      <c r="F209" s="179" cm="1">
        <f t="array" ref="F209">+SUMPRODUCT(('Budget original'!$A$8:$A$501=$A209)*('Budget original'!$C$3:$AO$3=F$2),'Budget original'!$C$8:$AO$501)</f>
        <v>0</v>
      </c>
      <c r="G209" s="277"/>
      <c r="H209" s="276"/>
      <c r="I209" s="179"/>
      <c r="J209" s="278"/>
      <c r="K209" s="276"/>
      <c r="L209" s="180">
        <f>SUMIFS(BV_Data_An_Cour!$P:$P,BV_Data_An_Cour!$U:$U,$B209,BV_Data_An_Cour!$V:$V,$C209,BV_Data_An_Cour!$W:$W,$L$2)</f>
        <v>0</v>
      </c>
      <c r="M209" s="278"/>
      <c r="N209" s="279">
        <f t="shared" si="45"/>
        <v>0</v>
      </c>
      <c r="O209" s="278"/>
      <c r="P209" s="276"/>
      <c r="Q209" s="180" cm="1">
        <f t="array" ref="Q209">+SUMPRODUCT(('Réel 2024'!$A$8:$A$501=$A209)*('Réel 2024'!$C$3:$AO$3=Q$2),'Réel 2024'!$C$8:$AO$501)</f>
        <v>0</v>
      </c>
      <c r="R209" s="278"/>
      <c r="S209" s="200">
        <f t="shared" si="46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8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0.65886769869711759</v>
      </c>
      <c r="F210" s="41">
        <f>+SUM(F198:F209)</f>
        <v>778566.02218277135</v>
      </c>
      <c r="G210" s="42"/>
      <c r="H210" s="40"/>
      <c r="I210" s="41"/>
      <c r="J210" s="42" t="s">
        <v>162</v>
      </c>
      <c r="K210" s="40">
        <f>L210/L$194</f>
        <v>0.94278744659673619</v>
      </c>
      <c r="L210" s="41">
        <f>+SUM(L198:L209)</f>
        <v>63036.23000000001</v>
      </c>
      <c r="M210" s="43"/>
      <c r="N210" s="46">
        <f t="shared" si="45"/>
        <v>-715529.79218277137</v>
      </c>
      <c r="O210" s="42" t="s">
        <v>162</v>
      </c>
      <c r="P210" s="40">
        <f>Q210/Q$194</f>
        <v>0.59516459386357767</v>
      </c>
      <c r="Q210" s="41">
        <f>+SUM(Q198:Q209)</f>
        <v>656452.14999999991</v>
      </c>
      <c r="R210" s="43"/>
      <c r="S210" s="281">
        <f t="shared" si="46"/>
        <v>-593415.91999999993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8"/>
        <v>ServicePublicité 2</v>
      </c>
      <c r="B211" s="24" t="s">
        <v>147</v>
      </c>
      <c r="C211" s="469" t="s">
        <v>118</v>
      </c>
      <c r="D211" s="249"/>
      <c r="E211" s="178"/>
      <c r="F211" s="179" cm="1">
        <f t="array" ref="F211">+SUMPRODUCT(('Budget original'!$A$8:$A$501=$A211)*('Budget original'!$C$3:$AO$3=F$2),'Budget original'!$C$8:$AO$501)</f>
        <v>68040.05</v>
      </c>
      <c r="G211" s="269"/>
      <c r="H211" s="178"/>
      <c r="I211" s="179"/>
      <c r="J211" s="223"/>
      <c r="K211" s="178"/>
      <c r="L211" s="180">
        <f>SUMIFS(BV_Data_An_Cour!$P:$P,BV_Data_An_Cour!$U:$U,$B211,BV_Data_An_Cour!$V:$V,$C211,BV_Data_An_Cour!$W:$W,$L$2)</f>
        <v>1382.06</v>
      </c>
      <c r="M211" s="223"/>
      <c r="N211" s="225">
        <f t="shared" si="45"/>
        <v>-66657.990000000005</v>
      </c>
      <c r="O211" s="223"/>
      <c r="P211" s="178"/>
      <c r="Q211" s="180" cm="1">
        <f t="array" ref="Q211">+SUMPRODUCT(('Réel 2024'!$A$8:$A$501=$A211)*('Réel 2024'!$C$3:$AO$3=Q$2),'Réel 2024'!$C$8:$AO$501)</f>
        <v>76296.850000000006</v>
      </c>
      <c r="R211" s="223"/>
      <c r="S211" s="197">
        <f t="shared" si="46"/>
        <v>-74914.790000000008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8"/>
        <v>ServiceService gratuit 2</v>
      </c>
      <c r="B212" s="24" t="s">
        <v>147</v>
      </c>
      <c r="C212" s="251" t="s">
        <v>119</v>
      </c>
      <c r="D212" s="249"/>
      <c r="E212" s="178"/>
      <c r="F212" s="179" cm="1">
        <f t="array" ref="F212">+SUMPRODUCT(('Budget original'!$A$8:$A$501=$A212)*('Budget original'!$C$3:$AO$3=F$2),'Budget original'!$C$8:$AO$501)</f>
        <v>33099.999999999993</v>
      </c>
      <c r="G212" s="269"/>
      <c r="H212" s="178"/>
      <c r="I212" s="179"/>
      <c r="J212" s="223"/>
      <c r="K212" s="178"/>
      <c r="L212" s="180">
        <f>SUMIFS(BV_Data_An_Cour!$P:$P,BV_Data_An_Cour!$U:$U,$B212,BV_Data_An_Cour!$V:$V,$C212,BV_Data_An_Cour!$W:$W,$L$2)</f>
        <v>1075.23</v>
      </c>
      <c r="M212" s="223"/>
      <c r="N212" s="225">
        <f t="shared" si="45"/>
        <v>-32024.769999999993</v>
      </c>
      <c r="O212" s="223"/>
      <c r="P212" s="178"/>
      <c r="Q212" s="180" cm="1">
        <f t="array" ref="Q212">+SUMPRODUCT(('Réel 2024'!$A$8:$A$501=$A212)*('Réel 2024'!$C$3:$AO$3=Q$2),'Réel 2024'!$C$8:$AO$501)</f>
        <v>38735.719999999979</v>
      </c>
      <c r="R212" s="223"/>
      <c r="S212" s="197">
        <f t="shared" si="46"/>
        <v>-37660.489999999976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8"/>
        <v>ServiceFrais véhicules de cie</v>
      </c>
      <c r="B213" s="24" t="s">
        <v>147</v>
      </c>
      <c r="C213" s="294" t="s">
        <v>120</v>
      </c>
      <c r="D213" s="275"/>
      <c r="E213" s="276"/>
      <c r="F213" s="177" cm="1">
        <f t="array" ref="F213">+SUMPRODUCT(('Budget original'!$A$8:$A$501=$A213)*('Budget original'!$C$3:$AO$3=F$2),'Budget original'!$C$8:$AO$501)</f>
        <v>67414.000000000015</v>
      </c>
      <c r="G213" s="277"/>
      <c r="H213" s="276"/>
      <c r="I213" s="177"/>
      <c r="J213" s="278"/>
      <c r="K213" s="276"/>
      <c r="L213" s="180">
        <f>SUMIFS(BV_Data_An_Cour!$P:$P,BV_Data_An_Cour!$U:$U,$B213,BV_Data_An_Cour!$V:$V,$C213,BV_Data_An_Cour!$W:$W,$L$2)</f>
        <v>2408.88</v>
      </c>
      <c r="M213" s="278"/>
      <c r="N213" s="279">
        <f t="shared" si="45"/>
        <v>-65005.120000000017</v>
      </c>
      <c r="O213" s="278"/>
      <c r="P213" s="276"/>
      <c r="Q213" s="180" cm="1">
        <f t="array" ref="Q213">+SUMPRODUCT(('Réel 2024'!$A$8:$A$501=$A213)*('Réel 2024'!$C$3:$AO$3=Q$2),'Réel 2024'!$C$8:$AO$501)</f>
        <v>59170.969999999987</v>
      </c>
      <c r="R213" s="278"/>
      <c r="S213" s="200">
        <f t="shared" si="46"/>
        <v>-56762.089999999989</v>
      </c>
      <c r="T213" s="178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8"/>
        <v>ServiceInformatique</v>
      </c>
      <c r="B214" s="24" t="s">
        <v>147</v>
      </c>
      <c r="C214" s="251" t="s">
        <v>121</v>
      </c>
      <c r="D214" s="249"/>
      <c r="E214" s="178"/>
      <c r="F214" s="179" cm="1">
        <f t="array" ref="F214">+SUMPRODUCT(('Budget original'!$A$8:$A$501=$A214)*('Budget original'!$C$3:$AO$3=F$2),'Budget original'!$C$8:$AO$501)</f>
        <v>72402</v>
      </c>
      <c r="G214" s="269"/>
      <c r="H214" s="178"/>
      <c r="I214" s="179"/>
      <c r="J214" s="223"/>
      <c r="K214" s="178"/>
      <c r="L214" s="181">
        <f>SUMIFS(BV_Data_An_Cour!$P:$P,BV_Data_An_Cour!$U:$U,$B214,BV_Data_An_Cour!$V:$V,$C214,BV_Data_An_Cour!$W:$W,$L$2)</f>
        <v>6047.78</v>
      </c>
      <c r="M214" s="223"/>
      <c r="N214" s="225">
        <f t="shared" si="45"/>
        <v>-66354.22</v>
      </c>
      <c r="O214" s="223"/>
      <c r="P214" s="178"/>
      <c r="Q214" s="181" cm="1">
        <f t="array" ref="Q214">+SUMPRODUCT(('Réel 2024'!$A$8:$A$501=$A214)*('Réel 2024'!$C$3:$AO$3=Q$2),'Réel 2024'!$C$8:$AO$501)</f>
        <v>68693.52</v>
      </c>
      <c r="R214" s="223"/>
      <c r="S214" s="197">
        <f t="shared" si="46"/>
        <v>-62645.740000000005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8"/>
        <v>ServiceFrais de déplacement</v>
      </c>
      <c r="B215" s="24" t="s">
        <v>147</v>
      </c>
      <c r="C215" s="251" t="s">
        <v>122</v>
      </c>
      <c r="D215" s="249"/>
      <c r="E215" s="178"/>
      <c r="F215" s="179" cm="1">
        <f t="array" ref="F215">+SUMPRODUCT(('Budget original'!$A$8:$A$501=$A215)*('Budget original'!$C$3:$AO$3=F$2),'Budget original'!$C$8:$AO$501)</f>
        <v>5499.9999999999991</v>
      </c>
      <c r="G215" s="269"/>
      <c r="H215" s="178"/>
      <c r="I215" s="179"/>
      <c r="J215" s="223"/>
      <c r="K215" s="178"/>
      <c r="L215" s="180">
        <f>SUMIFS(BV_Data_An_Cour!$P:$P,BV_Data_An_Cour!$U:$U,$B215,BV_Data_An_Cour!$V:$V,$C215,BV_Data_An_Cour!$W:$W,$L$2)</f>
        <v>249.84</v>
      </c>
      <c r="M215" s="223"/>
      <c r="N215" s="225">
        <f t="shared" si="45"/>
        <v>-5250.1599999999989</v>
      </c>
      <c r="O215" s="223"/>
      <c r="P215" s="178"/>
      <c r="Q215" s="180" cm="1">
        <f t="array" ref="Q215">+SUMPRODUCT(('Réel 2024'!$A$8:$A$501=$A215)*('Réel 2024'!$C$3:$AO$3=Q$2),'Réel 2024'!$C$8:$AO$501)</f>
        <v>7242.4199999999983</v>
      </c>
      <c r="R215" s="223"/>
      <c r="S215" s="197">
        <f t="shared" si="46"/>
        <v>-6992.5799999999981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8"/>
        <v>ServiceServices extérieurs</v>
      </c>
      <c r="B216" s="24" t="s">
        <v>147</v>
      </c>
      <c r="C216" s="294" t="s">
        <v>123</v>
      </c>
      <c r="D216" s="275"/>
      <c r="E216" s="276"/>
      <c r="F216" s="177" cm="1">
        <f t="array" ref="F216">+SUMPRODUCT(('Budget original'!$A$8:$A$501=$A216)*('Budget original'!$C$3:$AO$3=F$2),'Budget original'!$C$8:$AO$501)</f>
        <v>67698</v>
      </c>
      <c r="G216" s="277"/>
      <c r="H216" s="276"/>
      <c r="I216" s="177"/>
      <c r="J216" s="278"/>
      <c r="K216" s="276"/>
      <c r="L216" s="177">
        <f>SUMIFS(BV_Data_An_Cour!$P:$P,BV_Data_An_Cour!$U:$U,$B216,BV_Data_An_Cour!$V:$V,$C216,BV_Data_An_Cour!$W:$W,$L$2)</f>
        <v>6111.57</v>
      </c>
      <c r="M216" s="278"/>
      <c r="N216" s="279">
        <f t="shared" si="45"/>
        <v>-61586.43</v>
      </c>
      <c r="O216" s="278"/>
      <c r="P216" s="276"/>
      <c r="Q216" s="177" cm="1">
        <f t="array" ref="Q216">+SUMPRODUCT(('Réel 2024'!$A$8:$A$501=$A216)*('Réel 2024'!$C$3:$AO$3=Q$2),'Réel 2024'!$C$8:$AO$501)</f>
        <v>70034.760000000009</v>
      </c>
      <c r="R216" s="278"/>
      <c r="S216" s="200">
        <f t="shared" si="46"/>
        <v>-63923.19000000001</v>
      </c>
      <c r="T216" s="178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 cm="1">
        <f t="array" ref="F217">+SUMPRODUCT(('Budget original'!$A$8:$A$501=$A217)*('Budget original'!$C$3:$AO$3=F$2),'Budget original'!$C$8:$AO$501)</f>
        <v>0</v>
      </c>
      <c r="G217" s="269"/>
      <c r="H217" s="178"/>
      <c r="I217" s="179"/>
      <c r="J217" s="223"/>
      <c r="K217" s="178"/>
      <c r="L217" s="181">
        <f>SUMIFS(BV_Data_An_Cour!$P:$P,BV_Data_An_Cour!$U:$U,$B217,BV_Data_An_Cour!$V:$V,$C217,BV_Data_An_Cour!$W:$W,$L$2)</f>
        <v>0</v>
      </c>
      <c r="M217" s="223"/>
      <c r="N217" s="225">
        <f t="shared" si="45"/>
        <v>0</v>
      </c>
      <c r="O217" s="223"/>
      <c r="P217" s="178"/>
      <c r="Q217" s="181" cm="1">
        <f t="array" ref="Q217">+SUMPRODUCT(('Réel 2024'!$A$8:$A$501=$A217)*('Réel 2024'!$C$3:$AO$3=Q$2),'Réel 2024'!$C$8:$AO$501)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8"/>
        <v>ServiceFournitures autres</v>
      </c>
      <c r="B218" s="24" t="s">
        <v>147</v>
      </c>
      <c r="C218" s="251" t="s">
        <v>124</v>
      </c>
      <c r="D218" s="249"/>
      <c r="E218" s="178"/>
      <c r="F218" s="179" cm="1">
        <f t="array" ref="F218">+SUMPRODUCT(('Budget original'!$A$8:$A$501=$A218)*('Budget original'!$C$3:$AO$3=F$2),'Budget original'!$C$8:$AO$501)</f>
        <v>13200</v>
      </c>
      <c r="G218" s="269"/>
      <c r="H218" s="178"/>
      <c r="I218" s="179"/>
      <c r="J218" s="223"/>
      <c r="K218" s="178"/>
      <c r="L218" s="180">
        <f>SUMIFS(BV_Data_An_Cour!$P:$P,BV_Data_An_Cour!$U:$U,$B218,BV_Data_An_Cour!$V:$V,$C218,BV_Data_An_Cour!$W:$W,$L$2)</f>
        <v>1736.99</v>
      </c>
      <c r="M218" s="223"/>
      <c r="N218" s="225">
        <f t="shared" si="45"/>
        <v>-11463.01</v>
      </c>
      <c r="O218" s="223"/>
      <c r="P218" s="178"/>
      <c r="Q218" s="180" cm="1">
        <f t="array" ref="Q218">+SUMPRODUCT(('Réel 2024'!$A$8:$A$501=$A218)*('Réel 2024'!$C$3:$AO$3=Q$2),'Réel 2024'!$C$8:$AO$501)</f>
        <v>14561.639999999998</v>
      </c>
      <c r="R218" s="223"/>
      <c r="S218" s="197">
        <f t="shared" si="46"/>
        <v>-12824.649999999998</v>
      </c>
      <c r="T218" s="178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8"/>
        <v>ServiceUniformes</v>
      </c>
      <c r="B219" s="24" t="s">
        <v>147</v>
      </c>
      <c r="C219" s="251" t="s">
        <v>125</v>
      </c>
      <c r="D219" s="249"/>
      <c r="E219" s="178"/>
      <c r="F219" s="179" cm="1">
        <f t="array" ref="F219">+SUMPRODUCT(('Budget original'!$A$8:$A$501=$A219)*('Budget original'!$C$3:$AO$3=F$2),'Budget original'!$C$8:$AO$501)</f>
        <v>12000</v>
      </c>
      <c r="G219" s="269"/>
      <c r="H219" s="178"/>
      <c r="I219" s="179"/>
      <c r="J219" s="223"/>
      <c r="K219" s="178"/>
      <c r="L219" s="180">
        <f>SUMIFS(BV_Data_An_Cour!$P:$P,BV_Data_An_Cour!$U:$U,$B219,BV_Data_An_Cour!$V:$V,$C219,BV_Data_An_Cour!$W:$W,$L$2)</f>
        <v>684.54</v>
      </c>
      <c r="M219" s="223"/>
      <c r="N219" s="225">
        <f t="shared" si="45"/>
        <v>-11315.46</v>
      </c>
      <c r="O219" s="223"/>
      <c r="P219" s="178"/>
      <c r="Q219" s="180" cm="1">
        <f t="array" ref="Q219">+SUMPRODUCT(('Réel 2024'!$A$8:$A$501=$A219)*('Réel 2024'!$C$3:$AO$3=Q$2),'Réel 2024'!$C$8:$AO$501)</f>
        <v>13543.330000000002</v>
      </c>
      <c r="R219" s="223"/>
      <c r="S219" s="197">
        <f t="shared" si="46"/>
        <v>-12858.79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8"/>
        <v>ServicePapeterie</v>
      </c>
      <c r="B220" s="24" t="s">
        <v>147</v>
      </c>
      <c r="C220" s="251" t="s">
        <v>126</v>
      </c>
      <c r="D220" s="249"/>
      <c r="E220" s="178"/>
      <c r="F220" s="179" cm="1">
        <f t="array" ref="F220">+SUMPRODUCT(('Budget original'!$A$8:$A$501=$A220)*('Budget original'!$C$3:$AO$3=F$2),'Budget original'!$C$8:$AO$501)</f>
        <v>4725</v>
      </c>
      <c r="G220" s="269"/>
      <c r="H220" s="178"/>
      <c r="I220" s="179"/>
      <c r="J220" s="223"/>
      <c r="K220" s="178"/>
      <c r="L220" s="473">
        <f>SUMIFS(BV_Data_An_Cour!$P:$P,BV_Data_An_Cour!$U:$U,$B220,BV_Data_An_Cour!$V:$V,$C220,BV_Data_An_Cour!$W:$W,$L$2)</f>
        <v>159.55000000000001</v>
      </c>
      <c r="M220" s="223"/>
      <c r="N220" s="225">
        <f t="shared" si="45"/>
        <v>-4565.45</v>
      </c>
      <c r="O220" s="223"/>
      <c r="P220" s="178"/>
      <c r="Q220" s="473" cm="1">
        <f t="array" ref="Q220">+SUMPRODUCT(('Réel 2024'!$A$8:$A$501=$A220)*('Réel 2024'!$C$3:$AO$3=Q$2),'Réel 2024'!$C$8:$AO$501)</f>
        <v>4116.9699999999993</v>
      </c>
      <c r="R220" s="223"/>
      <c r="S220" s="197">
        <f t="shared" si="46"/>
        <v>-3957.4199999999992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8"/>
        <v>ServiceTéléphone</v>
      </c>
      <c r="B221" s="24" t="s">
        <v>147</v>
      </c>
      <c r="C221" s="251" t="s">
        <v>127</v>
      </c>
      <c r="D221" s="249"/>
      <c r="E221" s="178"/>
      <c r="F221" s="179" cm="1">
        <f t="array" ref="F221">+SUMPRODUCT(('Budget original'!$A$8:$A$501=$A221)*('Budget original'!$C$3:$AO$3=F$2),'Budget original'!$C$8:$AO$501)</f>
        <v>1440</v>
      </c>
      <c r="G221" s="269"/>
      <c r="H221" s="178"/>
      <c r="I221" s="179"/>
      <c r="J221" s="223"/>
      <c r="K221" s="178"/>
      <c r="L221" s="180">
        <f>SUMIFS(BV_Data_An_Cour!$P:$P,BV_Data_An_Cour!$U:$U,$B221,BV_Data_An_Cour!$V:$V,$C221,BV_Data_An_Cour!$W:$W,$L$2)</f>
        <v>199.65</v>
      </c>
      <c r="M221" s="223"/>
      <c r="N221" s="225">
        <f t="shared" si="45"/>
        <v>-1240.3499999999999</v>
      </c>
      <c r="O221" s="223"/>
      <c r="P221" s="178"/>
      <c r="Q221" s="180" cm="1">
        <f t="array" ref="Q221">+SUMPRODUCT(('Réel 2024'!$A$8:$A$501=$A221)*('Réel 2024'!$C$3:$AO$3=Q$2),'Réel 2024'!$C$8:$AO$501)</f>
        <v>1381.67</v>
      </c>
      <c r="R221" s="223"/>
      <c r="S221" s="197">
        <f t="shared" si="46"/>
        <v>-1182.02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8"/>
        <v>ServiceFrais postaux</v>
      </c>
      <c r="B222" s="24" t="s">
        <v>147</v>
      </c>
      <c r="C222" s="251" t="s">
        <v>128</v>
      </c>
      <c r="D222" s="249"/>
      <c r="E222" s="178"/>
      <c r="F222" s="179" cm="1">
        <f t="array" ref="F222">+SUMPRODUCT(('Budget original'!$A$8:$A$501=$A222)*('Budget original'!$C$3:$AO$3=F$2),'Budget original'!$C$8:$AO$501)</f>
        <v>1350</v>
      </c>
      <c r="G222" s="269"/>
      <c r="H222" s="178"/>
      <c r="I222" s="179"/>
      <c r="J222" s="223"/>
      <c r="K222" s="178"/>
      <c r="L222" s="180">
        <f>SUMIFS(BV_Data_An_Cour!$P:$P,BV_Data_An_Cour!$U:$U,$B222,BV_Data_An_Cour!$V:$V,$C222,BV_Data_An_Cour!$W:$W,$L$2)</f>
        <v>113.74</v>
      </c>
      <c r="M222" s="223"/>
      <c r="N222" s="225">
        <f t="shared" si="45"/>
        <v>-1236.26</v>
      </c>
      <c r="O222" s="223"/>
      <c r="P222" s="178"/>
      <c r="Q222" s="180" cm="1">
        <f t="array" ref="Q222">+SUMPRODUCT(('Réel 2024'!$A$8:$A$501=$A222)*('Réel 2024'!$C$3:$AO$3=Q$2),'Réel 2024'!$C$8:$AO$501)</f>
        <v>1474.79</v>
      </c>
      <c r="R222" s="223"/>
      <c r="S222" s="197">
        <f t="shared" si="46"/>
        <v>-1361.05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8"/>
        <v>ServiceDivers</v>
      </c>
      <c r="B223" s="24" t="s">
        <v>147</v>
      </c>
      <c r="C223" s="251" t="s">
        <v>129</v>
      </c>
      <c r="D223" s="249"/>
      <c r="E223" s="178"/>
      <c r="F223" s="179" cm="1">
        <f t="array" ref="F223">+SUMPRODUCT(('Budget original'!$A$8:$A$501=$A223)*('Budget original'!$C$3:$AO$3=F$2),'Budget original'!$C$8:$AO$501)</f>
        <v>5223</v>
      </c>
      <c r="G223" s="269"/>
      <c r="H223" s="178"/>
      <c r="I223" s="179"/>
      <c r="J223" s="223"/>
      <c r="K223" s="178"/>
      <c r="L223" s="180">
        <f>SUMIFS(BV_Data_An_Cour!$P:$P,BV_Data_An_Cour!$U:$U,$B223,BV_Data_An_Cour!$V:$V,$C223,BV_Data_An_Cour!$W:$W,$L$2)</f>
        <v>0</v>
      </c>
      <c r="M223" s="223"/>
      <c r="N223" s="225">
        <f t="shared" si="45"/>
        <v>-5223</v>
      </c>
      <c r="O223" s="223"/>
      <c r="P223" s="178"/>
      <c r="Q223" s="180" cm="1">
        <f t="array" ref="Q223">+SUMPRODUCT(('Réel 2024'!$A$8:$A$501=$A223)*('Réel 2024'!$C$3:$AO$3=Q$2),'Réel 2024'!$C$8:$AO$501)</f>
        <v>5452.2899999999991</v>
      </c>
      <c r="R223" s="223"/>
      <c r="S223" s="197">
        <f t="shared" si="46"/>
        <v>-5452.2899999999991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8"/>
        <v>ServiceFormation</v>
      </c>
      <c r="B224" s="24" t="s">
        <v>147</v>
      </c>
      <c r="C224" s="251" t="s">
        <v>130</v>
      </c>
      <c r="D224" s="249"/>
      <c r="E224" s="178"/>
      <c r="F224" s="179" cm="1">
        <f t="array" ref="F224">+SUMPRODUCT(('Budget original'!$A$8:$A$501=$A224)*('Budget original'!$C$3:$AO$3=F$2),'Budget original'!$C$8:$AO$501)</f>
        <v>19724.583400000003</v>
      </c>
      <c r="G224" s="269"/>
      <c r="H224" s="178"/>
      <c r="I224" s="179"/>
      <c r="J224" s="223"/>
      <c r="K224" s="178"/>
      <c r="L224" s="180">
        <f>SUMIFS(BV_Data_An_Cour!$P:$P,BV_Data_An_Cour!$U:$U,$B224,BV_Data_An_Cour!$V:$V,$C224,BV_Data_An_Cour!$W:$W,$L$2)</f>
        <v>874.18</v>
      </c>
      <c r="M224" s="223"/>
      <c r="N224" s="225">
        <f t="shared" si="45"/>
        <v>-18850.403400000003</v>
      </c>
      <c r="O224" s="223"/>
      <c r="P224" s="178"/>
      <c r="Q224" s="180" cm="1">
        <f t="array" ref="Q224">+SUMPRODUCT(('Réel 2024'!$A$8:$A$501=$A224)*('Réel 2024'!$C$3:$AO$3=Q$2),'Réel 2024'!$C$8:$AO$501)</f>
        <v>12190.840000000002</v>
      </c>
      <c r="R224" s="223"/>
      <c r="S224" s="197">
        <f t="shared" si="46"/>
        <v>-11316.660000000002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8"/>
        <v>ServiceFrais bancaires</v>
      </c>
      <c r="B225" s="24" t="s">
        <v>147</v>
      </c>
      <c r="C225" s="251" t="s">
        <v>131</v>
      </c>
      <c r="D225" s="249"/>
      <c r="E225" s="178"/>
      <c r="F225" s="179" cm="1">
        <f t="array" ref="F225">+SUMPRODUCT(('Budget original'!$A$8:$A$501=$A225)*('Budget original'!$C$3:$AO$3=F$2),'Budget original'!$C$8:$AO$501)</f>
        <v>19631.58775147059</v>
      </c>
      <c r="G225" s="269"/>
      <c r="H225" s="178"/>
      <c r="I225" s="179"/>
      <c r="J225" s="223"/>
      <c r="K225" s="178"/>
      <c r="L225" s="180">
        <f>SUMIFS(BV_Data_An_Cour!$P:$P,BV_Data_An_Cour!$U:$U,$B225,BV_Data_An_Cour!$V:$V,$C225,BV_Data_An_Cour!$W:$W,$L$2)</f>
        <v>1278.81</v>
      </c>
      <c r="M225" s="223"/>
      <c r="N225" s="225">
        <f t="shared" si="45"/>
        <v>-18352.777751470589</v>
      </c>
      <c r="O225" s="223"/>
      <c r="P225" s="178"/>
      <c r="Q225" s="180" cm="1">
        <f t="array" ref="Q225">+SUMPRODUCT(('Réel 2024'!$A$8:$A$501=$A225)*('Réel 2024'!$C$3:$AO$3=Q$2),'Réel 2024'!$C$8:$AO$501)</f>
        <v>18079.160000000003</v>
      </c>
      <c r="R225" s="223"/>
      <c r="S225" s="197">
        <f t="shared" si="46"/>
        <v>-16800.350000000002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8"/>
        <v>Service[...]</v>
      </c>
      <c r="B226" s="24" t="s">
        <v>147</v>
      </c>
      <c r="C226" s="251" t="s">
        <v>42</v>
      </c>
      <c r="D226" s="249"/>
      <c r="E226" s="178"/>
      <c r="F226" s="179" cm="1">
        <f t="array" ref="F226">+SUMPRODUCT(('Budget original'!$A$8:$A$501=$A226)*('Budget original'!$C$3:$AO$3=F$2),'Budget original'!$C$8:$AO$501)</f>
        <v>0</v>
      </c>
      <c r="G226" s="269"/>
      <c r="H226" s="178"/>
      <c r="I226" s="179"/>
      <c r="J226" s="223"/>
      <c r="K226" s="178"/>
      <c r="L226" s="180">
        <f>SUMIFS(BV_Data_An_Cour!$P:$P,BV_Data_An_Cour!$U:$U,$B226,BV_Data_An_Cour!$V:$V,$C226,BV_Data_An_Cour!$W:$W,$L$2)</f>
        <v>0</v>
      </c>
      <c r="M226" s="223"/>
      <c r="N226" s="225">
        <f t="shared" si="45"/>
        <v>0</v>
      </c>
      <c r="O226" s="223"/>
      <c r="P226" s="178"/>
      <c r="Q226" s="180" cm="1">
        <f t="array" ref="Q226">+SUMPRODUCT(('Réel 2024'!$A$8:$A$501=$A226)*('Réel 2024'!$C$3:$AO$3=Q$2),'Réel 2024'!$C$8:$AO$501)</f>
        <v>0</v>
      </c>
      <c r="R226" s="223"/>
      <c r="S226" s="197">
        <f t="shared" si="46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 cm="1">
        <f t="array" ref="F227">+SUMPRODUCT(('Budget original'!$A$8:$A$501=$A227)*('Budget original'!$C$3:$AO$3=F$2),'Budget original'!$C$8:$AO$501)</f>
        <v>0</v>
      </c>
      <c r="G227" s="269"/>
      <c r="H227" s="178"/>
      <c r="I227" s="179"/>
      <c r="J227" s="223"/>
      <c r="K227" s="178"/>
      <c r="L227" s="180">
        <f>SUMIFS(BV_Data_An_Cour!$P:$P,BV_Data_An_Cour!$U:$U,$B227,BV_Data_An_Cour!$V:$V,$C227,BV_Data_An_Cour!$W:$W,$L$2)</f>
        <v>0</v>
      </c>
      <c r="M227" s="223"/>
      <c r="N227" s="225">
        <f t="shared" si="45"/>
        <v>0</v>
      </c>
      <c r="O227" s="223"/>
      <c r="P227" s="178"/>
      <c r="Q227" s="180" cm="1">
        <f t="array" ref="Q227">+SUMPRODUCT(('Réel 2024'!$A$8:$A$501=$A227)*('Réel 2024'!$C$3:$AO$3=Q$2),'Réel 2024'!$C$8:$AO$501)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8"/>
        <v>Service[...]</v>
      </c>
      <c r="B228" s="24" t="s">
        <v>147</v>
      </c>
      <c r="C228" s="251" t="s">
        <v>42</v>
      </c>
      <c r="D228" s="249"/>
      <c r="E228" s="178"/>
      <c r="F228" s="179" cm="1">
        <f t="array" ref="F228">+SUMPRODUCT(('Budget original'!$A$8:$A$501=$A228)*('Budget original'!$C$3:$AO$3=F$2),'Budget original'!$C$8:$AO$501)</f>
        <v>0</v>
      </c>
      <c r="G228" s="269"/>
      <c r="H228" s="178"/>
      <c r="I228" s="179"/>
      <c r="J228" s="223"/>
      <c r="K228" s="178"/>
      <c r="L228" s="180">
        <f>SUMIFS(BV_Data_An_Cour!$P:$P,BV_Data_An_Cour!$U:$U,$B228,BV_Data_An_Cour!$V:$V,$C228,BV_Data_An_Cour!$W:$W,$L$2)</f>
        <v>0</v>
      </c>
      <c r="M228" s="223"/>
      <c r="N228" s="225">
        <f t="shared" si="45"/>
        <v>0</v>
      </c>
      <c r="O228" s="223"/>
      <c r="P228" s="178"/>
      <c r="Q228" s="180" cm="1">
        <f t="array" ref="Q228">+SUMPRODUCT(('Réel 2024'!$A$8:$A$501=$A228)*('Réel 2024'!$C$3:$AO$3=Q$2),'Réel 2024'!$C$8:$AO$501)</f>
        <v>0</v>
      </c>
      <c r="R228" s="223"/>
      <c r="S228" s="197">
        <f t="shared" si="46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0.33126617561099242</v>
      </c>
      <c r="F229" s="41">
        <f>+SUM(F211:F228)</f>
        <v>391448.22115147056</v>
      </c>
      <c r="G229" s="42"/>
      <c r="H229" s="40"/>
      <c r="I229" s="41"/>
      <c r="J229" s="42" t="s">
        <v>162</v>
      </c>
      <c r="K229" s="40">
        <f>L229/L$194</f>
        <v>0.33386632526467014</v>
      </c>
      <c r="L229" s="41">
        <f>+SUM(L211:L228)</f>
        <v>22322.820000000007</v>
      </c>
      <c r="M229" s="44"/>
      <c r="N229" s="41">
        <f t="shared" si="45"/>
        <v>-369125.40115147055</v>
      </c>
      <c r="O229" s="42" t="s">
        <v>162</v>
      </c>
      <c r="P229" s="40">
        <f>Q229/Q$194</f>
        <v>0.35447280570913003</v>
      </c>
      <c r="Q229" s="41">
        <f>+SUM(Q211:Q228)</f>
        <v>390974.92999999993</v>
      </c>
      <c r="R229" s="44"/>
      <c r="S229" s="285">
        <f t="shared" si="46"/>
        <v>-368652.10999999993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0.99013387430811006</v>
      </c>
      <c r="F231" s="41">
        <f>F210+F229</f>
        <v>1170014.2433342419</v>
      </c>
      <c r="G231" s="42"/>
      <c r="H231" s="40"/>
      <c r="I231" s="41"/>
      <c r="J231" s="42" t="s">
        <v>108</v>
      </c>
      <c r="K231" s="40">
        <f>L231/L$194</f>
        <v>1.2766537718614064</v>
      </c>
      <c r="L231" s="41">
        <f>L210+L229</f>
        <v>85359.050000000017</v>
      </c>
      <c r="M231" s="44"/>
      <c r="N231" s="46">
        <f>L231-F231</f>
        <v>-1084655.1933342419</v>
      </c>
      <c r="O231" s="42" t="s">
        <v>108</v>
      </c>
      <c r="P231" s="40">
        <f>Q231/Q$194</f>
        <v>0.94963739957270765</v>
      </c>
      <c r="Q231" s="41">
        <f>Q210+Q229</f>
        <v>1047427.0799999998</v>
      </c>
      <c r="R231" s="44"/>
      <c r="S231" s="281">
        <f>L231-Q231</f>
        <v>-962068.0299999998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11658.532129408792</v>
      </c>
      <c r="G233" s="307"/>
      <c r="H233" s="305"/>
      <c r="I233" s="306"/>
      <c r="J233" s="308"/>
      <c r="K233" s="309"/>
      <c r="L233" s="306">
        <f>L194-L231</f>
        <v>-18497.500000000015</v>
      </c>
      <c r="M233" s="308"/>
      <c r="N233" s="306">
        <f>L233-F233</f>
        <v>-30156.032129408806</v>
      </c>
      <c r="O233" s="308"/>
      <c r="P233" s="309"/>
      <c r="Q233" s="306">
        <f>Q194-Q231</f>
        <v>55548.72999999905</v>
      </c>
      <c r="R233" s="308"/>
      <c r="S233" s="310">
        <f>L233-Q233</f>
        <v>-74046.229999999065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2025 AAD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279" t="s">
        <v>77</v>
      </c>
      <c r="E238" s="1280"/>
      <c r="F238" s="1281"/>
      <c r="G238" s="1284"/>
      <c r="H238" s="1280"/>
      <c r="I238" s="1281"/>
      <c r="J238" s="1284" t="s">
        <v>78</v>
      </c>
      <c r="K238" s="1280"/>
      <c r="L238" s="1281"/>
      <c r="M238" s="1284" t="s">
        <v>2442</v>
      </c>
      <c r="N238" s="1281"/>
      <c r="O238" s="1279" t="s">
        <v>79</v>
      </c>
      <c r="P238" s="1280"/>
      <c r="Q238" s="1281"/>
      <c r="R238" s="1282" t="s">
        <v>2446</v>
      </c>
      <c r="S238" s="1283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47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2444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47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47"/>
        <v>CarrosserieM/O Sous-traitement</v>
      </c>
      <c r="B241" s="24" t="s">
        <v>163</v>
      </c>
      <c r="C241" s="469" t="s">
        <v>164</v>
      </c>
      <c r="D241" s="253" cm="1">
        <f t="array" ref="D241">+SUMPRODUCT(('Budget original'!$A$8:$A$501=$A241)*('Budget original'!$C$3:$AO$3=D$2),'Budget original'!$C$8:$AO$501)</f>
        <v>0</v>
      </c>
      <c r="E241" s="195" cm="1">
        <f t="array" ref="E241">+SUMPRODUCT(('Budget original'!$A$8:$A$501=$A241)*('Budget original'!$C$3:$AO$3=E$2),'Budget original'!$C$8:$AO$501)</f>
        <v>0</v>
      </c>
      <c r="F241" s="195" cm="1">
        <f t="array" ref="F241">+SUMPRODUCT(('Budget original'!$A$8:$A$501=$A241)*('Budget original'!$C$3:$AO$3=F$2),'Budget original'!$C$8:$AO$501)</f>
        <v>0</v>
      </c>
      <c r="G241" s="311"/>
      <c r="H241" s="195"/>
      <c r="I241" s="195"/>
      <c r="J241" s="224">
        <f>-SUMIFS(BV_Data_An_Cour!$P:$P,BV_Data_An_Cour!$U:$U,$B241,BV_Data_An_Cour!$V:$V,$C241,BV_Data_An_Cour!$W:$W,J$2)</f>
        <v>0</v>
      </c>
      <c r="K241" s="179">
        <f>-SUMIFS(BV_Data_An_Cour!$P:$P,BV_Data_An_Cour!$X:$X,"Oui",BV_Data_An_Cour!$U:$U,$B241,BV_Data_An_Cour!$V:$V,$C241)</f>
        <v>0</v>
      </c>
      <c r="L241" s="180">
        <f>-SUMIFS(BV_Data_An_Cour!$P:$P,BV_Data_An_Cour!$U:$U,$B241,BV_Data_An_Cour!$V:$V,$C241,BV_Data_An_Cour!$W:$W,$L$2)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 cm="1">
        <f t="array" ref="O241">+SUMPRODUCT(('Réel 2024'!$A$8:$A$501=$A241)*('Réel 2024'!$C$3:$AO$3=O$2),'Réel 2024'!$C$8:$AO$501)</f>
        <v>93</v>
      </c>
      <c r="P241" s="179" cm="1">
        <f t="array" ref="P241">+SUMPRODUCT(('Réel 2024'!$A$8:$A$501=$A241)*('Réel 2024'!$C$3:$AO$3=P$2),'Réel 2024'!$C$8:$AO$501)</f>
        <v>29658.19</v>
      </c>
      <c r="Q241" s="180" cm="1">
        <f t="array" ref="Q241">+SUMPRODUCT(('Réel 2024'!$A$8:$A$501=$A241)*('Réel 2024'!$C$3:$AO$3=Q$2),'Réel 2024'!$C$8:$AO$501)</f>
        <v>4480.2499999999936</v>
      </c>
      <c r="R241" s="293">
        <f>IF(O241=0,0,J241/O241)</f>
        <v>0</v>
      </c>
      <c r="S241" s="197">
        <f>L241-Q241</f>
        <v>-4480.2499999999936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47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0.15106282615358502</v>
      </c>
      <c r="R242" s="224"/>
      <c r="S242" s="197">
        <f>IFERROR(S241/R241,0)</f>
        <v>0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47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47"/>
        <v>CarrosserieM/O Carrosserie</v>
      </c>
      <c r="B244" s="24" t="s">
        <v>163</v>
      </c>
      <c r="C244" s="312" t="s">
        <v>165</v>
      </c>
      <c r="D244" s="271" cm="1">
        <f t="array" ref="D244">+SUMPRODUCT(('Budget original'!$A$8:$A$501=$A244)*('Budget original'!$C$3:$AO$3=D$2),'Budget original'!$C$8:$AO$501)</f>
        <v>0</v>
      </c>
      <c r="E244" s="195" cm="1">
        <f t="array" ref="E244">+SUMPRODUCT(('Budget original'!$A$8:$A$501=$A244)*('Budget original'!$C$3:$AO$3=E$2),'Budget original'!$C$8:$AO$501)</f>
        <v>0</v>
      </c>
      <c r="F244" s="195" cm="1">
        <f t="array" ref="F244">+SUMPRODUCT(('Budget original'!$A$8:$A$501=$A244)*('Budget original'!$C$3:$AO$3=F$2),'Budget original'!$C$8:$AO$501)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-SUMIFS(BV_Data_An_Cour!$P:$P,BV_Data_An_Cour!$X:$X,"Oui",BV_Data_An_Cour!$U:$U,$B244,BV_Data_An_Cour!$V:$V,$C244)</f>
        <v>0</v>
      </c>
      <c r="L244" s="181">
        <f>-SUMIFS(BV_Data_An_Cour!$P:$P,BV_Data_An_Cour!$U:$U,$B244,BV_Data_An_Cour!$V:$V,$C244,BV_Data_An_Cour!$W:$W,$L$2)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 cm="1">
        <f t="array" ref="O244">+SUMPRODUCT(('Réel 2024'!$A$8:$A$501=$A244)*('Réel 2024'!$C$3:$AO$3=O$2),'Réel 2024'!$C$8:$AO$501)</f>
        <v>0</v>
      </c>
      <c r="P244" s="186" cm="1">
        <f t="array" ref="P244">+SUMPRODUCT(('Réel 2024'!$A$8:$A$501=$A244)*('Réel 2024'!$C$3:$AO$3=P$2),'Réel 2024'!$C$8:$AO$501)</f>
        <v>0</v>
      </c>
      <c r="Q244" s="181" cm="1">
        <f t="array" ref="Q244">+SUMPRODUCT(('Réel 2024'!$A$8:$A$501=$A244)*('Réel 2024'!$C$3:$AO$3=Q$2),'Réel 2024'!$C$8:$AO$501)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47"/>
        <v>Carrosserie% profit / ventes</v>
      </c>
      <c r="B245" s="24" t="s">
        <v>163</v>
      </c>
      <c r="C245" s="251" t="s">
        <v>152</v>
      </c>
      <c r="D245" s="178"/>
      <c r="E245" s="226"/>
      <c r="F245" s="227">
        <f>IFERROR(F244/E244,0)</f>
        <v>0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47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47"/>
        <v>CarrosserieM/O Esthétique Carr.</v>
      </c>
      <c r="B247" s="24" t="s">
        <v>163</v>
      </c>
      <c r="C247" s="312" t="s">
        <v>166</v>
      </c>
      <c r="D247" s="316" cm="1">
        <f t="array" ref="D247">+SUMPRODUCT(('Budget original'!$A$8:$A$501=$A247)*('Budget original'!$C$3:$AO$3=D$2),'Budget original'!$C$8:$AO$501)</f>
        <v>0</v>
      </c>
      <c r="E247" s="195" cm="1">
        <f t="array" ref="E247">+SUMPRODUCT(('Budget original'!$A$8:$A$501=$A247)*('Budget original'!$C$3:$AO$3=E$2),'Budget original'!$C$8:$AO$501)</f>
        <v>0</v>
      </c>
      <c r="F247" s="195" cm="1">
        <f t="array" ref="F247">+SUMPRODUCT(('Budget original'!$A$8:$A$501=$A247)*('Budget original'!$C$3:$AO$3=F$2),'Budget original'!$C$8:$AO$501)</f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-SUMIFS(BV_Data_An_Cour!$P:$P,BV_Data_An_Cour!$X:$X,"Oui",BV_Data_An_Cour!$U:$U,$B247,BV_Data_An_Cour!$V:$V,$C247)</f>
        <v>0</v>
      </c>
      <c r="L247" s="180">
        <f>-SUMIFS(BV_Data_An_Cour!$P:$P,BV_Data_An_Cour!$U:$U,$B247,BV_Data_An_Cour!$V:$V,$C247,BV_Data_An_Cour!$W:$W,$L$2)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 cm="1">
        <f t="array" ref="O247">+SUMPRODUCT(('Réel 2024'!$A$8:$A$501=$A247)*('Réel 2024'!$C$3:$AO$3=O$2),'Réel 2024'!$C$8:$AO$501)</f>
        <v>0</v>
      </c>
      <c r="P247" s="179" cm="1">
        <f t="array" ref="P247">+SUMPRODUCT(('Réel 2024'!$A$8:$A$501=$A247)*('Réel 2024'!$C$3:$AO$3=P$2),'Réel 2024'!$C$8:$AO$501)</f>
        <v>0</v>
      </c>
      <c r="Q247" s="180" cm="1">
        <f t="array" ref="Q247">+SUMPRODUCT(('Réel 2024'!$A$8:$A$501=$A247)*('Réel 2024'!$C$3:$AO$3=Q$2),'Réel 2024'!$C$8:$AO$501)</f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47"/>
        <v>Carrosserie% profit / ventes</v>
      </c>
      <c r="B248" s="24" t="s">
        <v>163</v>
      </c>
      <c r="C248" s="251" t="s">
        <v>152</v>
      </c>
      <c r="D248" s="178"/>
      <c r="E248" s="178"/>
      <c r="F248" s="227">
        <f>IFERROR(F247/E247,0)</f>
        <v>0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47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47"/>
        <v>CarrosserieTotal Mécanique</v>
      </c>
      <c r="B250" s="24" t="s">
        <v>163</v>
      </c>
      <c r="C250" s="256" t="s">
        <v>161</v>
      </c>
      <c r="D250" s="26"/>
      <c r="E250" s="26">
        <f t="shared" ref="E250:F250" si="48">E244+E247+E241</f>
        <v>0</v>
      </c>
      <c r="F250" s="28">
        <f t="shared" si="48"/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9">P244+P247+P241</f>
        <v>29658.19</v>
      </c>
      <c r="Q250" s="28">
        <f t="shared" si="49"/>
        <v>4480.2499999999936</v>
      </c>
      <c r="R250" s="70">
        <f>L251-Q251</f>
        <v>-0.15106282615358502</v>
      </c>
      <c r="S250" s="321">
        <f>L250-Q250</f>
        <v>-4480.2499999999936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47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0.15106282615358502</v>
      </c>
      <c r="R251" s="33"/>
      <c r="S251" s="259">
        <f>IF(R250=0,0,S250/R250)</f>
        <v>29658.19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47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47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47"/>
        <v>CarrosserieSalaires cadres</v>
      </c>
      <c r="B254" s="24" t="s">
        <v>163</v>
      </c>
      <c r="C254" s="267" t="s">
        <v>109</v>
      </c>
      <c r="D254" s="178"/>
      <c r="E254" s="178"/>
      <c r="F254" s="179" cm="1">
        <f t="array" ref="F254">+SUMPRODUCT(('Budget original'!$A$8:$A$501=$A254)*('Budget original'!$C$3:$AO$3=F$2),'Budget original'!$C$8:$AO$501)</f>
        <v>0</v>
      </c>
      <c r="G254" s="223"/>
      <c r="H254" s="178"/>
      <c r="I254" s="179"/>
      <c r="J254" s="223"/>
      <c r="K254" s="178"/>
      <c r="L254" s="180">
        <f>SUMIFS(BV_Data_An_Cour!$P:$P,BV_Data_An_Cour!$U:$U,$B254,BV_Data_An_Cour!$V:$V,$C254,BV_Data_An_Cour!$W:$W,$L$2)</f>
        <v>0</v>
      </c>
      <c r="M254" s="223"/>
      <c r="N254" s="225">
        <f t="shared" ref="N254:N284" si="50">L254-F254</f>
        <v>0</v>
      </c>
      <c r="O254" s="223"/>
      <c r="P254" s="178"/>
      <c r="Q254" s="180" cm="1">
        <f t="array" ref="Q254">+SUMPRODUCT(('Réel 2024'!$A$8:$A$501=$A254)*('Réel 2024'!$C$3:$AO$3=Q$2),'Réel 2024'!$C$8:$AO$501)</f>
        <v>3651.24</v>
      </c>
      <c r="R254" s="223"/>
      <c r="S254" s="197">
        <f>L254-Q254</f>
        <v>-3651.24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47"/>
        <v>CarrosserieSalaires commis</v>
      </c>
      <c r="B255" s="24" t="s">
        <v>163</v>
      </c>
      <c r="C255" s="268" t="s">
        <v>110</v>
      </c>
      <c r="D255" s="249"/>
      <c r="E255" s="178"/>
      <c r="F255" s="177" cm="1">
        <f t="array" ref="F255">+SUMPRODUCT(('Budget original'!$A$8:$A$501=$A255)*('Budget original'!$C$3:$AO$3=F$2),'Budget original'!$C$8:$AO$501)</f>
        <v>0</v>
      </c>
      <c r="G255" s="269"/>
      <c r="H255" s="178"/>
      <c r="I255" s="177"/>
      <c r="J255" s="223"/>
      <c r="K255" s="178"/>
      <c r="L255" s="180">
        <f>SUMIFS(BV_Data_An_Cour!$P:$P,BV_Data_An_Cour!$U:$U,$B255,BV_Data_An_Cour!$V:$V,$C255,BV_Data_An_Cour!$W:$W,$L$2)</f>
        <v>0</v>
      </c>
      <c r="M255" s="223"/>
      <c r="N255" s="225">
        <f t="shared" si="50"/>
        <v>0</v>
      </c>
      <c r="O255" s="223"/>
      <c r="P255" s="178"/>
      <c r="Q255" s="180" cm="1">
        <f t="array" ref="Q255">+SUMPRODUCT(('Réel 2024'!$A$8:$A$501=$A255)*('Réel 2024'!$C$3:$AO$3=Q$2),'Réel 2024'!$C$8:$AO$501)</f>
        <v>4059.8799999999997</v>
      </c>
      <c r="R255" s="223"/>
      <c r="S255" s="197">
        <f>L255-Q255</f>
        <v>-4059.8799999999997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47"/>
        <v>CarrosserieSalaires autres</v>
      </c>
      <c r="B256" s="24" t="s">
        <v>163</v>
      </c>
      <c r="C256" s="267" t="s">
        <v>111</v>
      </c>
      <c r="D256" s="270"/>
      <c r="E256" s="271"/>
      <c r="F256" s="179" cm="1">
        <f t="array" ref="F256">+SUMPRODUCT(('Budget original'!$A$8:$A$501=$A256)*('Budget original'!$C$3:$AO$3=F$2),'Budget original'!$C$8:$AO$501)</f>
        <v>0</v>
      </c>
      <c r="G256" s="272"/>
      <c r="H256" s="271"/>
      <c r="I256" s="179"/>
      <c r="J256" s="273"/>
      <c r="K256" s="271"/>
      <c r="L256" s="181">
        <f>SUMIFS(BV_Data_An_Cour!$P:$P,BV_Data_An_Cour!$U:$U,$B256,BV_Data_An_Cour!$V:$V,$C256,BV_Data_An_Cour!$W:$W,$L$2)</f>
        <v>0</v>
      </c>
      <c r="M256" s="273"/>
      <c r="N256" s="274">
        <f t="shared" si="50"/>
        <v>0</v>
      </c>
      <c r="O256" s="273"/>
      <c r="P256" s="271"/>
      <c r="Q256" s="181" cm="1">
        <f t="array" ref="Q256">+SUMPRODUCT(('Réel 2024'!$A$8:$A$501=$A256)*('Réel 2024'!$C$3:$AO$3=Q$2),'Réel 2024'!$C$8:$AO$501)</f>
        <v>228</v>
      </c>
      <c r="R256" s="273"/>
      <c r="S256" s="199">
        <f t="shared" ref="S256:S285" si="51">L256-Q256</f>
        <v>-228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47"/>
        <v>CarrosserieSalaires spécialistes</v>
      </c>
      <c r="B257" s="24" t="s">
        <v>163</v>
      </c>
      <c r="C257" s="267" t="s">
        <v>112</v>
      </c>
      <c r="D257" s="249"/>
      <c r="E257" s="178"/>
      <c r="F257" s="179" cm="1">
        <f t="array" ref="F257">+SUMPRODUCT(('Budget original'!$A$8:$A$501=$A257)*('Budget original'!$C$3:$AO$3=F$2),'Budget original'!$C$8:$AO$501)</f>
        <v>0</v>
      </c>
      <c r="G257" s="269"/>
      <c r="H257" s="178"/>
      <c r="I257" s="179"/>
      <c r="J257" s="223"/>
      <c r="K257" s="178"/>
      <c r="L257" s="180">
        <f>SUMIFS(BV_Data_An_Cour!$P:$P,BV_Data_An_Cour!$U:$U,$B257,BV_Data_An_Cour!$V:$V,$C257,BV_Data_An_Cour!$W:$W,$L$2)</f>
        <v>0</v>
      </c>
      <c r="M257" s="223"/>
      <c r="N257" s="225">
        <f t="shared" si="50"/>
        <v>0</v>
      </c>
      <c r="O257" s="223"/>
      <c r="P257" s="178"/>
      <c r="Q257" s="180" cm="1">
        <f t="array" ref="Q257">+SUMPRODUCT(('Réel 2024'!$A$8:$A$501=$A257)*('Réel 2024'!$C$3:$AO$3=Q$2),'Réel 2024'!$C$8:$AO$501)</f>
        <v>0</v>
      </c>
      <c r="R257" s="223"/>
      <c r="S257" s="197">
        <f t="shared" si="5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47"/>
        <v>Carrosserie[...]</v>
      </c>
      <c r="B258" s="24" t="s">
        <v>163</v>
      </c>
      <c r="C258" s="251" t="s">
        <v>42</v>
      </c>
      <c r="D258" s="249"/>
      <c r="E258" s="178"/>
      <c r="F258" s="179" cm="1">
        <f t="array" ref="F258">+SUMPRODUCT(('Budget original'!$A$8:$A$501=$A258)*('Budget original'!$C$3:$AO$3=F$2),'Budget original'!$C$8:$AO$501)</f>
        <v>0</v>
      </c>
      <c r="G258" s="269"/>
      <c r="H258" s="178"/>
      <c r="I258" s="179"/>
      <c r="J258" s="223"/>
      <c r="K258" s="178"/>
      <c r="L258" s="180">
        <f>SUMIFS(BV_Data_An_Cour!$P:$P,BV_Data_An_Cour!$U:$U,$B258,BV_Data_An_Cour!$V:$V,$C258,BV_Data_An_Cour!$W:$W,$L$2)</f>
        <v>0</v>
      </c>
      <c r="M258" s="223"/>
      <c r="N258" s="225">
        <f t="shared" si="50"/>
        <v>0</v>
      </c>
      <c r="O258" s="223"/>
      <c r="P258" s="178"/>
      <c r="Q258" s="180" cm="1">
        <f t="array" ref="Q258">+SUMPRODUCT(('Réel 2024'!$A$8:$A$501=$A258)*('Réel 2024'!$C$3:$AO$3=Q$2),'Réel 2024'!$C$8:$AO$501)</f>
        <v>0</v>
      </c>
      <c r="R258" s="223"/>
      <c r="S258" s="197">
        <f t="shared" si="5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47"/>
        <v>Carrosserie[...]</v>
      </c>
      <c r="B259" s="24" t="s">
        <v>163</v>
      </c>
      <c r="C259" s="251" t="s">
        <v>42</v>
      </c>
      <c r="D259" s="249"/>
      <c r="E259" s="178"/>
      <c r="F259" s="179" cm="1">
        <f t="array" ref="F259">+SUMPRODUCT(('Budget original'!$A$8:$A$501=$A259)*('Budget original'!$C$3:$AO$3=F$2),'Budget original'!$C$8:$AO$501)</f>
        <v>0</v>
      </c>
      <c r="G259" s="269"/>
      <c r="H259" s="178"/>
      <c r="I259" s="179"/>
      <c r="J259" s="223"/>
      <c r="K259" s="178"/>
      <c r="L259" s="180">
        <f>SUMIFS(BV_Data_An_Cour!$P:$P,BV_Data_An_Cour!$U:$U,$B259,BV_Data_An_Cour!$V:$V,$C259,BV_Data_An_Cour!$W:$W,$L$2)</f>
        <v>0</v>
      </c>
      <c r="M259" s="223"/>
      <c r="N259" s="225">
        <f t="shared" si="50"/>
        <v>0</v>
      </c>
      <c r="O259" s="223"/>
      <c r="P259" s="178"/>
      <c r="Q259" s="180" cm="1">
        <f t="array" ref="Q259">+SUMPRODUCT(('Réel 2024'!$A$8:$A$501=$A259)*('Réel 2024'!$C$3:$AO$3=Q$2),'Réel 2024'!$C$8:$AO$501)</f>
        <v>0</v>
      </c>
      <c r="R259" s="223"/>
      <c r="S259" s="197">
        <f t="shared" si="5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47"/>
        <v>Carrosserie[...]</v>
      </c>
      <c r="B260" s="24" t="s">
        <v>163</v>
      </c>
      <c r="C260" s="251" t="s">
        <v>42</v>
      </c>
      <c r="D260" s="249"/>
      <c r="E260" s="178"/>
      <c r="F260" s="179" cm="1">
        <f t="array" ref="F260">+SUMPRODUCT(('Budget original'!$A$8:$A$501=$A260)*('Budget original'!$C$3:$AO$3=F$2),'Budget original'!$C$8:$AO$501)</f>
        <v>0</v>
      </c>
      <c r="G260" s="269"/>
      <c r="H260" s="178"/>
      <c r="I260" s="179"/>
      <c r="J260" s="223"/>
      <c r="K260" s="178"/>
      <c r="L260" s="180">
        <f>SUMIFS(BV_Data_An_Cour!$P:$P,BV_Data_An_Cour!$U:$U,$B260,BV_Data_An_Cour!$V:$V,$C260,BV_Data_An_Cour!$W:$W,$L$2)</f>
        <v>0</v>
      </c>
      <c r="M260" s="223"/>
      <c r="N260" s="225">
        <f t="shared" si="50"/>
        <v>0</v>
      </c>
      <c r="O260" s="223"/>
      <c r="P260" s="178"/>
      <c r="Q260" s="180" cm="1">
        <f t="array" ref="Q260">+SUMPRODUCT(('Réel 2024'!$A$8:$A$501=$A260)*('Réel 2024'!$C$3:$AO$3=Q$2),'Réel 2024'!$C$8:$AO$501)</f>
        <v>0</v>
      </c>
      <c r="R260" s="223"/>
      <c r="S260" s="197">
        <f t="shared" si="5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7"/>
        <v>CarrosserieSalaires en absences</v>
      </c>
      <c r="B261" s="24" t="s">
        <v>163</v>
      </c>
      <c r="C261" s="268" t="s">
        <v>113</v>
      </c>
      <c r="D261" s="249"/>
      <c r="E261" s="178"/>
      <c r="F261" s="177" cm="1">
        <f t="array" ref="F261">+SUMPRODUCT(('Budget original'!$A$8:$A$501=$A261)*('Budget original'!$C$3:$AO$3=F$2),'Budget original'!$C$8:$AO$501)</f>
        <v>0</v>
      </c>
      <c r="G261" s="269"/>
      <c r="H261" s="178"/>
      <c r="I261" s="177"/>
      <c r="J261" s="223"/>
      <c r="K261" s="178"/>
      <c r="L261" s="180">
        <f>SUMIFS(BV_Data_An_Cour!$P:$P,BV_Data_An_Cour!$U:$U,$B261,BV_Data_An_Cour!$V:$V,$C261,BV_Data_An_Cour!$W:$W,$L$2)</f>
        <v>0</v>
      </c>
      <c r="M261" s="223"/>
      <c r="N261" s="225">
        <f t="shared" si="50"/>
        <v>0</v>
      </c>
      <c r="O261" s="223"/>
      <c r="P261" s="178"/>
      <c r="Q261" s="180" cm="1">
        <f t="array" ref="Q261">+SUMPRODUCT(('Réel 2024'!$A$8:$A$501=$A261)*('Réel 2024'!$C$3:$AO$3=Q$2),'Réel 2024'!$C$8:$AO$501)</f>
        <v>1205.1300000000001</v>
      </c>
      <c r="R261" s="223"/>
      <c r="S261" s="197">
        <f t="shared" si="51"/>
        <v>-1205.1300000000001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7"/>
        <v>CarrosserieDéduction à la source</v>
      </c>
      <c r="B262" s="24" t="s">
        <v>163</v>
      </c>
      <c r="C262" s="267" t="s">
        <v>114</v>
      </c>
      <c r="D262" s="270"/>
      <c r="E262" s="271"/>
      <c r="F262" s="179" cm="1">
        <f t="array" ref="F262">+SUMPRODUCT(('Budget original'!$A$8:$A$501=$A262)*('Budget original'!$C$3:$AO$3=F$2),'Budget original'!$C$8:$AO$501)</f>
        <v>0</v>
      </c>
      <c r="G262" s="272"/>
      <c r="H262" s="271"/>
      <c r="I262" s="179"/>
      <c r="J262" s="273"/>
      <c r="K262" s="271"/>
      <c r="L262" s="181">
        <f>SUMIFS(BV_Data_An_Cour!$P:$P,BV_Data_An_Cour!$U:$U,$B262,BV_Data_An_Cour!$V:$V,$C262,BV_Data_An_Cour!$W:$W,$L$2)</f>
        <v>0</v>
      </c>
      <c r="M262" s="273"/>
      <c r="N262" s="274">
        <f t="shared" si="50"/>
        <v>0</v>
      </c>
      <c r="O262" s="273"/>
      <c r="P262" s="271"/>
      <c r="Q262" s="181" cm="1">
        <f t="array" ref="Q262">+SUMPRODUCT(('Réel 2024'!$A$8:$A$501=$A262)*('Réel 2024'!$C$3:$AO$3=Q$2),'Réel 2024'!$C$8:$AO$501)</f>
        <v>3258.4599999999996</v>
      </c>
      <c r="R262" s="273"/>
      <c r="S262" s="199">
        <f t="shared" si="51"/>
        <v>-3258.4599999999996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7"/>
        <v>CarrosserieBénéfices marginaux</v>
      </c>
      <c r="B263" s="24" t="s">
        <v>163</v>
      </c>
      <c r="C263" s="267" t="s">
        <v>115</v>
      </c>
      <c r="D263" s="249"/>
      <c r="E263" s="178"/>
      <c r="F263" s="179" cm="1">
        <f t="array" ref="F263">+SUMPRODUCT(('Budget original'!$A$8:$A$501=$A263)*('Budget original'!$C$3:$AO$3=F$2),'Budget original'!$C$8:$AO$501)</f>
        <v>0</v>
      </c>
      <c r="G263" s="269"/>
      <c r="H263" s="178"/>
      <c r="I263" s="179"/>
      <c r="J263" s="223"/>
      <c r="K263" s="178"/>
      <c r="L263" s="180">
        <f>SUMIFS(BV_Data_An_Cour!$P:$P,BV_Data_An_Cour!$U:$U,$B263,BV_Data_An_Cour!$V:$V,$C263,BV_Data_An_Cour!$W:$W,$L$2)</f>
        <v>0</v>
      </c>
      <c r="M263" s="223"/>
      <c r="N263" s="225">
        <f t="shared" si="50"/>
        <v>0</v>
      </c>
      <c r="O263" s="223"/>
      <c r="P263" s="178"/>
      <c r="Q263" s="180" cm="1">
        <f t="array" ref="Q263">+SUMPRODUCT(('Réel 2024'!$A$8:$A$501=$A263)*('Réel 2024'!$C$3:$AO$3=Q$2),'Réel 2024'!$C$8:$AO$501)</f>
        <v>455.77</v>
      </c>
      <c r="R263" s="223"/>
      <c r="S263" s="197">
        <f t="shared" si="51"/>
        <v>-455.77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47"/>
        <v>CarrosserieCsst</v>
      </c>
      <c r="B264" s="24" t="s">
        <v>163</v>
      </c>
      <c r="C264" s="267" t="s">
        <v>116</v>
      </c>
      <c r="D264" s="249"/>
      <c r="E264" s="178"/>
      <c r="F264" s="179" cm="1">
        <f t="array" ref="F264">+SUMPRODUCT(('Budget original'!$A$8:$A$501=$A264)*('Budget original'!$C$3:$AO$3=F$2),'Budget original'!$C$8:$AO$501)</f>
        <v>0</v>
      </c>
      <c r="G264" s="269"/>
      <c r="H264" s="178"/>
      <c r="I264" s="179"/>
      <c r="J264" s="223"/>
      <c r="K264" s="178"/>
      <c r="L264" s="180">
        <f>SUMIFS(BV_Data_An_Cour!$P:$P,BV_Data_An_Cour!$U:$U,$B264,BV_Data_An_Cour!$V:$V,$C264,BV_Data_An_Cour!$W:$W,$L$2)</f>
        <v>0</v>
      </c>
      <c r="M264" s="746"/>
      <c r="N264" s="194">
        <f t="shared" si="50"/>
        <v>0</v>
      </c>
      <c r="O264" s="223"/>
      <c r="P264" s="178"/>
      <c r="Q264" s="180" cm="1">
        <f t="array" ref="Q264">+SUMPRODUCT(('Réel 2024'!$A$8:$A$501=$A264)*('Réel 2024'!$C$3:$AO$3=Q$2),'Réel 2024'!$C$8:$AO$501)</f>
        <v>54.580000000000013</v>
      </c>
      <c r="R264" s="223"/>
      <c r="S264" s="197">
        <f t="shared" si="51"/>
        <v>-54.580000000000013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47"/>
        <v>Carrosserie[...]</v>
      </c>
      <c r="B265" s="24" t="s">
        <v>163</v>
      </c>
      <c r="C265" s="251" t="s">
        <v>42</v>
      </c>
      <c r="D265" s="275"/>
      <c r="E265" s="276"/>
      <c r="F265" s="179">
        <f t="array" ref="F265"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SUMIFS(BV_Data_An_Cour!$P:$P,BV_Data_An_Cour!$U:$U,$B265,BV_Data_An_Cour!$V:$V,$C265,BV_Data_An_Cour!$W:$W,$L$2)</f>
        <v>0</v>
      </c>
      <c r="M265" s="278"/>
      <c r="N265" s="279">
        <f t="shared" si="5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5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47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50"/>
        <v>0</v>
      </c>
      <c r="O266" s="42" t="s">
        <v>108</v>
      </c>
      <c r="P266" s="40" t="e">
        <f>Q266/Q$244</f>
        <v>#DIV/0!</v>
      </c>
      <c r="Q266" s="41">
        <f>+SUM(Q254:Q265)</f>
        <v>12913.06</v>
      </c>
      <c r="R266" s="43"/>
      <c r="S266" s="281">
        <f t="shared" si="51"/>
        <v>-12913.06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47"/>
        <v>CarrosseriePublicité 2</v>
      </c>
      <c r="B267" s="24" t="s">
        <v>163</v>
      </c>
      <c r="C267" s="282" t="s">
        <v>118</v>
      </c>
      <c r="D267" s="249"/>
      <c r="E267" s="178"/>
      <c r="F267" s="179" cm="1">
        <f t="array" ref="F267">+SUMPRODUCT(('Budget original'!$A$8:$A$501=$A267)*('Budget original'!$C$3:$AO$3=F$2),'Budget original'!$C$8:$AO$501)</f>
        <v>0</v>
      </c>
      <c r="G267" s="269"/>
      <c r="H267" s="178"/>
      <c r="I267" s="179"/>
      <c r="J267" s="223"/>
      <c r="K267" s="178"/>
      <c r="L267" s="180">
        <f>SUMIFS(BV_Data_An_Cour!$P:$P,BV_Data_An_Cour!$U:$U,$B267,BV_Data_An_Cour!$V:$V,$C267,BV_Data_An_Cour!$W:$W,$L$2)</f>
        <v>0</v>
      </c>
      <c r="M267" s="223"/>
      <c r="N267" s="225">
        <f t="shared" si="50"/>
        <v>0</v>
      </c>
      <c r="O267" s="223"/>
      <c r="P267" s="178"/>
      <c r="Q267" s="180" cm="1">
        <f t="array" ref="Q267">+SUMPRODUCT(('Réel 2024'!$A$8:$A$501=$A267)*('Réel 2024'!$C$3:$AO$3=Q$2),'Réel 2024'!$C$8:$AO$501)</f>
        <v>256.23</v>
      </c>
      <c r="R267" s="223"/>
      <c r="S267" s="197">
        <f t="shared" si="51"/>
        <v>-256.23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47"/>
        <v>CarrosserieService gratuit 2</v>
      </c>
      <c r="B268" s="24" t="s">
        <v>163</v>
      </c>
      <c r="C268" s="267" t="s">
        <v>119</v>
      </c>
      <c r="D268" s="249"/>
      <c r="E268" s="178"/>
      <c r="F268" s="179" cm="1">
        <f t="array" ref="F268">+SUMPRODUCT(('Budget original'!$A$8:$A$501=$A268)*('Budget original'!$C$3:$AO$3=F$2),'Budget original'!$C$8:$AO$501)</f>
        <v>0</v>
      </c>
      <c r="G268" s="269"/>
      <c r="H268" s="178"/>
      <c r="I268" s="179"/>
      <c r="J268" s="223"/>
      <c r="K268" s="178"/>
      <c r="L268" s="180">
        <f>SUMIFS(BV_Data_An_Cour!$P:$P,BV_Data_An_Cour!$U:$U,$B268,BV_Data_An_Cour!$V:$V,$C268,BV_Data_An_Cour!$W:$W,$L$2)</f>
        <v>0</v>
      </c>
      <c r="M268" s="223"/>
      <c r="N268" s="225">
        <f t="shared" si="50"/>
        <v>0</v>
      </c>
      <c r="O268" s="223"/>
      <c r="P268" s="178"/>
      <c r="Q268" s="180" cm="1">
        <f t="array" ref="Q268">+SUMPRODUCT(('Réel 2024'!$A$8:$A$501=$A268)*('Réel 2024'!$C$3:$AO$3=Q$2),'Réel 2024'!$C$8:$AO$501)</f>
        <v>223.74</v>
      </c>
      <c r="R268" s="223"/>
      <c r="S268" s="197">
        <f t="shared" si="51"/>
        <v>-223.74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47"/>
        <v>CarrosserieFrais véhicules de cie</v>
      </c>
      <c r="B269" s="24" t="s">
        <v>163</v>
      </c>
      <c r="C269" s="268" t="s">
        <v>120</v>
      </c>
      <c r="D269" s="275"/>
      <c r="E269" s="276"/>
      <c r="F269" s="177" cm="1">
        <f t="array" ref="F269">+SUMPRODUCT(('Budget original'!$A$8:$A$501=$A269)*('Budget original'!$C$3:$AO$3=F$2),'Budget original'!$C$8:$AO$501)</f>
        <v>0</v>
      </c>
      <c r="G269" s="277"/>
      <c r="H269" s="276"/>
      <c r="I269" s="177"/>
      <c r="J269" s="278"/>
      <c r="K269" s="276"/>
      <c r="L269" s="180">
        <f>SUMIFS(BV_Data_An_Cour!$P:$P,BV_Data_An_Cour!$U:$U,$B269,BV_Data_An_Cour!$V:$V,$C269,BV_Data_An_Cour!$W:$W,$L$2)</f>
        <v>0</v>
      </c>
      <c r="M269" s="278"/>
      <c r="N269" s="279">
        <f t="shared" si="50"/>
        <v>0</v>
      </c>
      <c r="O269" s="278"/>
      <c r="P269" s="276"/>
      <c r="Q269" s="180" cm="1">
        <f t="array" ref="Q269">+SUMPRODUCT(('Réel 2024'!$A$8:$A$501=$A269)*('Réel 2024'!$C$3:$AO$3=Q$2),'Réel 2024'!$C$8:$AO$501)</f>
        <v>1753.36</v>
      </c>
      <c r="R269" s="278"/>
      <c r="S269" s="200">
        <f t="shared" si="51"/>
        <v>-1753.36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47"/>
        <v>CarrosserieInformatique</v>
      </c>
      <c r="B270" s="24" t="s">
        <v>163</v>
      </c>
      <c r="C270" s="267" t="s">
        <v>121</v>
      </c>
      <c r="D270" s="249"/>
      <c r="E270" s="178"/>
      <c r="F270" s="179" cm="1">
        <f t="array" ref="F270">+SUMPRODUCT(('Budget original'!$A$8:$A$501=$A270)*('Budget original'!$C$3:$AO$3=F$2),'Budget original'!$C$8:$AO$501)</f>
        <v>0</v>
      </c>
      <c r="G270" s="269"/>
      <c r="H270" s="178"/>
      <c r="I270" s="179"/>
      <c r="J270" s="223"/>
      <c r="K270" s="178"/>
      <c r="L270" s="181">
        <f>SUMIFS(BV_Data_An_Cour!$P:$P,BV_Data_An_Cour!$U:$U,$B270,BV_Data_An_Cour!$V:$V,$C270,BV_Data_An_Cour!$W:$W,$L$2)</f>
        <v>0</v>
      </c>
      <c r="M270" s="223"/>
      <c r="N270" s="225">
        <f t="shared" si="50"/>
        <v>0</v>
      </c>
      <c r="O270" s="223"/>
      <c r="P270" s="178"/>
      <c r="Q270" s="181" cm="1">
        <f t="array" ref="Q270">+SUMPRODUCT(('Réel 2024'!$A$8:$A$501=$A270)*('Réel 2024'!$C$3:$AO$3=Q$2),'Réel 2024'!$C$8:$AO$501)</f>
        <v>2546.6800000000003</v>
      </c>
      <c r="R270" s="223"/>
      <c r="S270" s="197">
        <f t="shared" si="51"/>
        <v>-2546.6800000000003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47"/>
        <v>CarrosserieFrais de déplacement</v>
      </c>
      <c r="B271" s="24" t="s">
        <v>163</v>
      </c>
      <c r="C271" s="267" t="s">
        <v>122</v>
      </c>
      <c r="D271" s="249"/>
      <c r="E271" s="178"/>
      <c r="F271" s="179" cm="1">
        <f t="array" ref="F271">+SUMPRODUCT(('Budget original'!$A$8:$A$501=$A271)*('Budget original'!$C$3:$AO$3=F$2),'Budget original'!$C$8:$AO$501)</f>
        <v>0</v>
      </c>
      <c r="G271" s="269"/>
      <c r="H271" s="178"/>
      <c r="I271" s="179"/>
      <c r="J271" s="223"/>
      <c r="K271" s="178"/>
      <c r="L271" s="180">
        <f>SUMIFS(BV_Data_An_Cour!$P:$P,BV_Data_An_Cour!$U:$U,$B271,BV_Data_An_Cour!$V:$V,$C271,BV_Data_An_Cour!$W:$W,$L$2)</f>
        <v>0</v>
      </c>
      <c r="M271" s="223"/>
      <c r="N271" s="225">
        <f t="shared" si="50"/>
        <v>0</v>
      </c>
      <c r="O271" s="223"/>
      <c r="P271" s="178"/>
      <c r="Q271" s="180" cm="1">
        <f t="array" ref="Q271">+SUMPRODUCT(('Réel 2024'!$A$8:$A$501=$A271)*('Réel 2024'!$C$3:$AO$3=Q$2),'Réel 2024'!$C$8:$AO$501)</f>
        <v>329.49</v>
      </c>
      <c r="R271" s="223"/>
      <c r="S271" s="197">
        <f t="shared" si="51"/>
        <v>-329.49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47"/>
        <v>CarrosserieServices extérieurs</v>
      </c>
      <c r="B272" s="24" t="s">
        <v>163</v>
      </c>
      <c r="C272" s="267" t="s">
        <v>123</v>
      </c>
      <c r="D272" s="275"/>
      <c r="E272" s="276"/>
      <c r="F272" s="177" cm="1">
        <f t="array" ref="F272">+SUMPRODUCT(('Budget original'!$A$8:$A$501=$A272)*('Budget original'!$C$3:$AO$3=F$2),'Budget original'!$C$8:$AO$501)</f>
        <v>0</v>
      </c>
      <c r="G272" s="277"/>
      <c r="H272" s="276"/>
      <c r="I272" s="177"/>
      <c r="J272" s="278"/>
      <c r="K272" s="276"/>
      <c r="L272" s="180">
        <f>SUMIFS(BV_Data_An_Cour!$P:$P,BV_Data_An_Cour!$U:$U,$B272,BV_Data_An_Cour!$V:$V,$C272,BV_Data_An_Cour!$W:$W,$L$2)</f>
        <v>0</v>
      </c>
      <c r="M272" s="278"/>
      <c r="N272" s="279">
        <f t="shared" si="50"/>
        <v>0</v>
      </c>
      <c r="O272" s="278"/>
      <c r="P272" s="276"/>
      <c r="Q272" s="177" cm="1">
        <f t="array" ref="Q272">+SUMPRODUCT(('Réel 2024'!$A$8:$A$501=$A272)*('Réel 2024'!$C$3:$AO$3=Q$2),'Réel 2024'!$C$8:$AO$501)</f>
        <v>1983.2299999999998</v>
      </c>
      <c r="R272" s="278"/>
      <c r="S272" s="200">
        <f t="shared" si="51"/>
        <v>-1983.2299999999998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SUMIFS(BV_Data_An_Cour!$P:$P,BV_Data_An_Cour!$U:$U,$B273,BV_Data_An_Cour!$V:$V,$C273,BV_Data_An_Cour!$W:$W,$L$2)</f>
        <v>0</v>
      </c>
      <c r="M273" s="223"/>
      <c r="N273" s="225">
        <f t="shared" si="50"/>
        <v>0</v>
      </c>
      <c r="O273" s="223"/>
      <c r="P273" s="178"/>
      <c r="Q273" s="180"/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7"/>
        <v>CarrosserieFournitures autres</v>
      </c>
      <c r="B274" s="24" t="s">
        <v>163</v>
      </c>
      <c r="C274" s="267" t="s">
        <v>124</v>
      </c>
      <c r="D274" s="249"/>
      <c r="E274" s="178"/>
      <c r="F274" s="179" cm="1">
        <f t="array" ref="F274">+SUMPRODUCT(('Budget original'!$A$8:$A$501=$A274)*('Budget original'!$C$3:$AO$3=F$2),'Budget original'!$C$8:$AO$501)</f>
        <v>0</v>
      </c>
      <c r="G274" s="269"/>
      <c r="H274" s="178"/>
      <c r="I274" s="179"/>
      <c r="J274" s="223"/>
      <c r="K274" s="178"/>
      <c r="L274" s="180">
        <f>SUMIFS(BV_Data_An_Cour!$P:$P,BV_Data_An_Cour!$U:$U,$B274,BV_Data_An_Cour!$V:$V,$C274,BV_Data_An_Cour!$W:$W,$L$2)</f>
        <v>0</v>
      </c>
      <c r="M274" s="223"/>
      <c r="N274" s="225">
        <f t="shared" si="50"/>
        <v>0</v>
      </c>
      <c r="O274" s="223"/>
      <c r="P274" s="178"/>
      <c r="Q274" s="180" cm="1">
        <f t="array" ref="Q274">+SUMPRODUCT(('Réel 2024'!$A$8:$A$501=$A274)*('Réel 2024'!$C$3:$AO$3=Q$2),'Réel 2024'!$C$8:$AO$501)</f>
        <v>1.35</v>
      </c>
      <c r="R274" s="223"/>
      <c r="S274" s="197">
        <f t="shared" si="51"/>
        <v>-1.35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47"/>
        <v>CarrosserieUniformes</v>
      </c>
      <c r="B275" s="24" t="s">
        <v>163</v>
      </c>
      <c r="C275" s="267" t="s">
        <v>125</v>
      </c>
      <c r="D275" s="249"/>
      <c r="E275" s="178"/>
      <c r="F275" s="179" cm="1">
        <f t="array" ref="F275">+SUMPRODUCT(('Budget original'!$A$8:$A$501=$A275)*('Budget original'!$C$3:$AO$3=F$2),'Budget original'!$C$8:$AO$501)</f>
        <v>0</v>
      </c>
      <c r="G275" s="269"/>
      <c r="H275" s="178"/>
      <c r="I275" s="179"/>
      <c r="J275" s="223"/>
      <c r="K275" s="178"/>
      <c r="L275" s="180">
        <f>SUMIFS(BV_Data_An_Cour!$P:$P,BV_Data_An_Cour!$U:$U,$B275,BV_Data_An_Cour!$V:$V,$C275,BV_Data_An_Cour!$W:$W,$L$2)</f>
        <v>0</v>
      </c>
      <c r="M275" s="223"/>
      <c r="N275" s="225">
        <f t="shared" si="50"/>
        <v>0</v>
      </c>
      <c r="O275" s="223"/>
      <c r="P275" s="178"/>
      <c r="Q275" s="180" cm="1">
        <f t="array" ref="Q275">+SUMPRODUCT(('Réel 2024'!$A$8:$A$501=$A275)*('Réel 2024'!$C$3:$AO$3=Q$2),'Réel 2024'!$C$8:$AO$501)</f>
        <v>23.08</v>
      </c>
      <c r="R275" s="223"/>
      <c r="S275" s="197">
        <f t="shared" si="51"/>
        <v>-23.08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47"/>
        <v>CarrosseriePapeterie</v>
      </c>
      <c r="B276" s="24" t="s">
        <v>163</v>
      </c>
      <c r="C276" s="267" t="s">
        <v>126</v>
      </c>
      <c r="D276" s="249"/>
      <c r="E276" s="178"/>
      <c r="F276" s="179" cm="1">
        <f t="array" ref="F276">+SUMPRODUCT(('Budget original'!$A$8:$A$501=$A276)*('Budget original'!$C$3:$AO$3=F$2),'Budget original'!$C$8:$AO$501)</f>
        <v>0</v>
      </c>
      <c r="G276" s="269"/>
      <c r="H276" s="178"/>
      <c r="I276" s="179"/>
      <c r="J276" s="223"/>
      <c r="K276" s="178"/>
      <c r="L276" s="473">
        <f>SUMIFS(BV_Data_An_Cour!$P:$P,BV_Data_An_Cour!$U:$U,$B276,BV_Data_An_Cour!$V:$V,$C276,BV_Data_An_Cour!$W:$W,$L$2)</f>
        <v>0</v>
      </c>
      <c r="M276" s="223"/>
      <c r="N276" s="225">
        <f t="shared" si="50"/>
        <v>0</v>
      </c>
      <c r="O276" s="223"/>
      <c r="P276" s="178"/>
      <c r="Q276" s="473" cm="1">
        <f t="array" ref="Q276">+SUMPRODUCT(('Réel 2024'!$A$8:$A$501=$A276)*('Réel 2024'!$C$3:$AO$3=Q$2),'Réel 2024'!$C$8:$AO$501)</f>
        <v>355.77000000000004</v>
      </c>
      <c r="R276" s="223"/>
      <c r="S276" s="197">
        <f t="shared" si="51"/>
        <v>-355.77000000000004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7"/>
        <v>CarrosserieTéléphone</v>
      </c>
      <c r="B277" s="24" t="s">
        <v>163</v>
      </c>
      <c r="C277" s="267" t="s">
        <v>127</v>
      </c>
      <c r="D277" s="249"/>
      <c r="E277" s="178"/>
      <c r="F277" s="179" cm="1">
        <f t="array" ref="F277">+SUMPRODUCT(('Budget original'!$A$8:$A$501=$A277)*('Budget original'!$C$3:$AO$3=F$2),'Budget original'!$C$8:$AO$501)</f>
        <v>0</v>
      </c>
      <c r="G277" s="269"/>
      <c r="H277" s="178"/>
      <c r="I277" s="179"/>
      <c r="J277" s="223"/>
      <c r="K277" s="178"/>
      <c r="L277" s="180">
        <f>SUMIFS(BV_Data_An_Cour!$P:$P,BV_Data_An_Cour!$U:$U,$B277,BV_Data_An_Cour!$V:$V,$C277,BV_Data_An_Cour!$W:$W,$L$2)</f>
        <v>0</v>
      </c>
      <c r="M277" s="223"/>
      <c r="N277" s="225">
        <f t="shared" si="50"/>
        <v>0</v>
      </c>
      <c r="O277" s="223"/>
      <c r="P277" s="178"/>
      <c r="Q277" s="180" cm="1">
        <f t="array" ref="Q277">+SUMPRODUCT(('Réel 2024'!$A$8:$A$501=$A277)*('Réel 2024'!$C$3:$AO$3=Q$2),'Réel 2024'!$C$8:$AO$501)</f>
        <v>113.03</v>
      </c>
      <c r="R277" s="223"/>
      <c r="S277" s="197">
        <f t="shared" si="51"/>
        <v>-113.03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7"/>
        <v>CarrosserieFrais postaux</v>
      </c>
      <c r="B278" s="24" t="s">
        <v>163</v>
      </c>
      <c r="C278" s="267" t="s">
        <v>128</v>
      </c>
      <c r="D278" s="249"/>
      <c r="E278" s="178"/>
      <c r="F278" s="179" cm="1">
        <f t="array" ref="F278">+SUMPRODUCT(('Budget original'!$A$8:$A$501=$A278)*('Budget original'!$C$3:$AO$3=F$2),'Budget original'!$C$8:$AO$501)</f>
        <v>0</v>
      </c>
      <c r="G278" s="269"/>
      <c r="H278" s="178"/>
      <c r="I278" s="179"/>
      <c r="J278" s="223"/>
      <c r="K278" s="178"/>
      <c r="L278" s="180">
        <f>SUMIFS(BV_Data_An_Cour!$P:$P,BV_Data_An_Cour!$U:$U,$B278,BV_Data_An_Cour!$V:$V,$C278,BV_Data_An_Cour!$W:$W,$L$2)</f>
        <v>0</v>
      </c>
      <c r="M278" s="223"/>
      <c r="N278" s="225">
        <f t="shared" si="50"/>
        <v>0</v>
      </c>
      <c r="O278" s="223"/>
      <c r="P278" s="178"/>
      <c r="Q278" s="180" cm="1">
        <f t="array" ref="Q278">+SUMPRODUCT(('Réel 2024'!$A$8:$A$501=$A278)*('Réel 2024'!$C$3:$AO$3=Q$2),'Réel 2024'!$C$8:$AO$501)</f>
        <v>60.899999999999991</v>
      </c>
      <c r="R278" s="223"/>
      <c r="S278" s="197">
        <f t="shared" si="51"/>
        <v>-60.899999999999991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7"/>
        <v>CarrosserieDivers</v>
      </c>
      <c r="B279" s="24" t="s">
        <v>163</v>
      </c>
      <c r="C279" s="267" t="s">
        <v>129</v>
      </c>
      <c r="D279" s="249"/>
      <c r="E279" s="178"/>
      <c r="F279" s="179" cm="1">
        <f t="array" ref="F279">+SUMPRODUCT(('Budget original'!$A$8:$A$501=$A279)*('Budget original'!$C$3:$AO$3=F$2),'Budget original'!$C$8:$AO$501)</f>
        <v>0</v>
      </c>
      <c r="G279" s="269"/>
      <c r="H279" s="178"/>
      <c r="I279" s="179"/>
      <c r="J279" s="223"/>
      <c r="K279" s="178"/>
      <c r="L279" s="180">
        <f>SUMIFS(BV_Data_An_Cour!$P:$P,BV_Data_An_Cour!$U:$U,$B279,BV_Data_An_Cour!$V:$V,$C279,BV_Data_An_Cour!$W:$W,$L$2)</f>
        <v>0</v>
      </c>
      <c r="M279" s="223"/>
      <c r="N279" s="225">
        <f t="shared" si="50"/>
        <v>0</v>
      </c>
      <c r="O279" s="223"/>
      <c r="P279" s="178"/>
      <c r="Q279" s="180" cm="1">
        <f t="array" ref="Q279">+SUMPRODUCT(('Réel 2024'!$A$8:$A$501=$A279)*('Réel 2024'!$C$3:$AO$3=Q$2),'Réel 2024'!$C$8:$AO$501)</f>
        <v>479.85999999999979</v>
      </c>
      <c r="R279" s="223"/>
      <c r="S279" s="197">
        <f t="shared" si="51"/>
        <v>-479.85999999999979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7"/>
        <v>CarrosserieFormation</v>
      </c>
      <c r="B280" s="24" t="s">
        <v>163</v>
      </c>
      <c r="C280" s="267" t="s">
        <v>130</v>
      </c>
      <c r="D280" s="249"/>
      <c r="E280" s="178"/>
      <c r="F280" s="179" cm="1">
        <f t="array" ref="F280">+SUMPRODUCT(('Budget original'!$A$8:$A$501=$A280)*('Budget original'!$C$3:$AO$3=F$2),'Budget original'!$C$8:$AO$501)</f>
        <v>0</v>
      </c>
      <c r="G280" s="269"/>
      <c r="H280" s="178"/>
      <c r="I280" s="179"/>
      <c r="J280" s="223"/>
      <c r="K280" s="178"/>
      <c r="L280" s="180">
        <f>SUMIFS(BV_Data_An_Cour!$P:$P,BV_Data_An_Cour!$U:$U,$B280,BV_Data_An_Cour!$V:$V,$C280,BV_Data_An_Cour!$W:$W,$L$2)</f>
        <v>0</v>
      </c>
      <c r="M280" s="223"/>
      <c r="N280" s="225">
        <f t="shared" si="50"/>
        <v>0</v>
      </c>
      <c r="O280" s="223"/>
      <c r="P280" s="178"/>
      <c r="Q280" s="180" cm="1">
        <f t="array" ref="Q280">+SUMPRODUCT(('Réel 2024'!$A$8:$A$501=$A280)*('Réel 2024'!$C$3:$AO$3=Q$2),'Réel 2024'!$C$8:$AO$501)</f>
        <v>169.94</v>
      </c>
      <c r="R280" s="223"/>
      <c r="S280" s="197">
        <f t="shared" si="51"/>
        <v>-169.94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7"/>
        <v>CarrosserieFrais bancaires</v>
      </c>
      <c r="B281" s="24" t="s">
        <v>163</v>
      </c>
      <c r="C281" s="267" t="s">
        <v>131</v>
      </c>
      <c r="D281" s="249"/>
      <c r="E281" s="178"/>
      <c r="F281" s="179" cm="1">
        <f t="array" ref="F281">+SUMPRODUCT(('Budget original'!$A$8:$A$501=$A281)*('Budget original'!$C$3:$AO$3=F$2),'Budget original'!$C$8:$AO$501)</f>
        <v>0</v>
      </c>
      <c r="G281" s="269"/>
      <c r="H281" s="178"/>
      <c r="I281" s="179"/>
      <c r="J281" s="223"/>
      <c r="K281" s="178"/>
      <c r="L281" s="180">
        <f>SUMIFS(BV_Data_An_Cour!$P:$P,BV_Data_An_Cour!$U:$U,$B281,BV_Data_An_Cour!$V:$V,$C281,BV_Data_An_Cour!$W:$W,$L$2)</f>
        <v>0</v>
      </c>
      <c r="M281" s="223"/>
      <c r="N281" s="225">
        <f t="shared" si="50"/>
        <v>0</v>
      </c>
      <c r="O281" s="223"/>
      <c r="P281" s="178"/>
      <c r="Q281" s="180" cm="1">
        <f t="array" ref="Q281">+SUMPRODUCT(('Réel 2024'!$A$8:$A$501=$A281)*('Réel 2024'!$C$3:$AO$3=Q$2),'Réel 2024'!$C$8:$AO$501)</f>
        <v>1855.9699999999998</v>
      </c>
      <c r="R281" s="223"/>
      <c r="S281" s="197">
        <f t="shared" si="51"/>
        <v>-1855.9699999999998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7"/>
        <v>Carrosserie[...]</v>
      </c>
      <c r="B282" s="24" t="s">
        <v>163</v>
      </c>
      <c r="C282" s="267" t="s">
        <v>42</v>
      </c>
      <c r="D282" s="249"/>
      <c r="E282" s="178"/>
      <c r="F282" s="179" cm="1">
        <f t="array" ref="F282">+SUMPRODUCT(('Budget original'!$A$8:$A$501=$A282)*('Budget original'!$C$3:$AO$3=F$2),'Budget original'!$C$8:$AO$501)</f>
        <v>0</v>
      </c>
      <c r="G282" s="269"/>
      <c r="H282" s="178"/>
      <c r="I282" s="179"/>
      <c r="J282" s="223"/>
      <c r="K282" s="178"/>
      <c r="L282" s="180">
        <f>SUMIFS(BV_Data_An_Cour!$P:$P,BV_Data_An_Cour!$U:$U,$B282,BV_Data_An_Cour!$V:$V,$C282,BV_Data_An_Cour!$W:$W,$L$2)</f>
        <v>0</v>
      </c>
      <c r="M282" s="223"/>
      <c r="N282" s="225">
        <f t="shared" si="50"/>
        <v>0</v>
      </c>
      <c r="O282" s="223"/>
      <c r="P282" s="178"/>
      <c r="Q282" s="180" cm="1">
        <f t="array" ref="Q282">+SUMPRODUCT(('Réel 2024'!$A$8:$A$501=$A282)*('Réel 2024'!$C$3:$AO$3=Q$2),'Réel 2024'!$C$8:$AO$501)</f>
        <v>0</v>
      </c>
      <c r="R282" s="223"/>
      <c r="S282" s="197">
        <f t="shared" si="51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 cm="1">
        <f t="array" ref="F283">+SUMPRODUCT(('Budget original'!$A$8:$A$501=$A283)*('Budget original'!$C$3:$AO$3=F$2),'Budget original'!$C$8:$AO$501)</f>
        <v>0</v>
      </c>
      <c r="G283" s="269"/>
      <c r="H283" s="178"/>
      <c r="I283" s="179"/>
      <c r="J283" s="223"/>
      <c r="K283" s="178"/>
      <c r="L283" s="180">
        <f>SUMIFS(BV_Data_An_Cour!$P:$P,BV_Data_An_Cour!$U:$U,$B283,BV_Data_An_Cour!$V:$V,$C283,BV_Data_An_Cour!$W:$W,$L$2)</f>
        <v>0</v>
      </c>
      <c r="M283" s="223"/>
      <c r="N283" s="225">
        <f t="shared" si="50"/>
        <v>0</v>
      </c>
      <c r="O283" s="223"/>
      <c r="P283" s="178"/>
      <c r="Q283" s="180" cm="1">
        <f t="array" ref="Q283">+SUMPRODUCT(('Réel 2024'!$A$8:$A$501=$A283)*('Réel 2024'!$C$3:$AO$3=Q$2),'Réel 2024'!$C$8:$AO$501)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7"/>
        <v>Carrosserie[...]</v>
      </c>
      <c r="B284" s="24" t="s">
        <v>163</v>
      </c>
      <c r="C284" s="267" t="s">
        <v>42</v>
      </c>
      <c r="D284" s="249"/>
      <c r="E284" s="178"/>
      <c r="F284" s="179" cm="1">
        <f t="array" ref="F284">+SUMPRODUCT(('Budget original'!$A$8:$A$501=$A284)*('Budget original'!$C$3:$AO$3=F$2),'Budget original'!$C$8:$AO$501)</f>
        <v>0</v>
      </c>
      <c r="G284" s="269"/>
      <c r="H284" s="178"/>
      <c r="I284" s="179"/>
      <c r="J284" s="223"/>
      <c r="K284" s="178"/>
      <c r="L284" s="180">
        <f>SUMIFS(BV_Data_An_Cour!$P:$P,BV_Data_An_Cour!$U:$U,$B284,BV_Data_An_Cour!$V:$V,$C284,BV_Data_An_Cour!$W:$W,$L$2)</f>
        <v>0</v>
      </c>
      <c r="M284" s="223"/>
      <c r="N284" s="225">
        <f t="shared" si="50"/>
        <v>0</v>
      </c>
      <c r="O284" s="223"/>
      <c r="P284" s="178"/>
      <c r="Q284" s="180" cm="1">
        <f t="array" ref="Q284">+SUMPRODUCT(('Réel 2024'!$A$8:$A$501=$A284)*('Réel 2024'!$C$3:$AO$3=Q$2),'Réel 2024'!$C$8:$AO$501)</f>
        <v>0</v>
      </c>
      <c r="R284" s="223"/>
      <c r="S284" s="197">
        <f t="shared" si="51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2.2660855979019057</v>
      </c>
      <c r="Q285" s="41">
        <f>+SUM(Q267:Q284)</f>
        <v>10152.629999999999</v>
      </c>
      <c r="R285" s="44"/>
      <c r="S285" s="285">
        <f t="shared" si="51"/>
        <v>-10152.629999999999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5.1483042240946446</v>
      </c>
      <c r="Q287" s="41">
        <f>Q266+Q285</f>
        <v>23065.69</v>
      </c>
      <c r="R287" s="44"/>
      <c r="S287" s="281">
        <f>L287-Q287</f>
        <v>-23065.69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-18585.440000000006</v>
      </c>
      <c r="R289" s="308"/>
      <c r="S289" s="310">
        <f>L289-Q289</f>
        <v>18585.440000000006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79" t="s">
        <v>77</v>
      </c>
      <c r="E293" s="1280"/>
      <c r="F293" s="1281"/>
      <c r="G293" s="1284"/>
      <c r="H293" s="1280"/>
      <c r="I293" s="1281"/>
      <c r="J293" s="1284" t="s">
        <v>78</v>
      </c>
      <c r="K293" s="1280"/>
      <c r="L293" s="1281"/>
      <c r="M293" s="1284" t="s">
        <v>2442</v>
      </c>
      <c r="N293" s="1281"/>
      <c r="O293" s="1279" t="s">
        <v>79</v>
      </c>
      <c r="P293" s="1280"/>
      <c r="Q293" s="1281"/>
      <c r="R293" s="1282" t="s">
        <v>2446</v>
      </c>
      <c r="S293" s="128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2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2444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2"/>
        <v>PiècesPièces Ro Clients</v>
      </c>
      <c r="B295" s="24" t="s">
        <v>167</v>
      </c>
      <c r="C295" s="251" t="s">
        <v>169</v>
      </c>
      <c r="D295" s="195" cm="1">
        <f t="array" ref="D295">+SUMPRODUCT(('Budget original'!$A$8:$A$501=$A295)*('Budget original'!$C$3:$AO$3=D$2),'Budget original'!$C$8:$AO$501)</f>
        <v>752599.99999999988</v>
      </c>
      <c r="E295" s="208">
        <f t="shared" ref="E295:E303" si="53">IF(D295=0,0,F295/D295)</f>
        <v>0.41</v>
      </c>
      <c r="F295" s="197" cm="1">
        <f t="array" ref="F295">+SUMPRODUCT(('Budget original'!$A$8:$A$501=$A295)*('Budget original'!$C$3:$AO$3=F$2),'Budget original'!$C$8:$AO$501)</f>
        <v>308565.99999999994</v>
      </c>
      <c r="G295" s="195"/>
      <c r="H295" s="208"/>
      <c r="I295" s="197"/>
      <c r="J295" s="179">
        <f>-SUMIFS(BV_Data_An_Cour!$P:$P,BV_Data_An_Cour!$X:$X,"Oui",BV_Data_An_Cour!$U:$U,$B295,BV_Data_An_Cour!$V:$V,$C295)</f>
        <v>47664.43</v>
      </c>
      <c r="K295" s="208">
        <f t="shared" ref="K295:K304" si="54">IF(J295&lt;=0,0,L295/J295)</f>
        <v>0.42656903691075293</v>
      </c>
      <c r="L295" s="180">
        <f>-SUMIFS(BV_Data_An_Cour!$P:$P,BV_Data_An_Cour!$U:$U,$B295,BV_Data_An_Cour!$V:$V,$C295,BV_Data_An_Cour!$W:$W,$L$2)</f>
        <v>20332.169999999998</v>
      </c>
      <c r="M295" s="293">
        <f t="shared" ref="M295:M301" si="55">(+J295-D295)/D295</f>
        <v>-0.93666698113207536</v>
      </c>
      <c r="N295" s="225">
        <f t="shared" ref="N295:N304" si="56">L295-F295</f>
        <v>-288233.82999999996</v>
      </c>
      <c r="O295" s="179" cm="1">
        <f t="array" ref="O295">+SUMPRODUCT(('Réel 2024'!$A$8:$A$501=$A295)*('Réel 2024'!$C$3:$AO$3=O$2),'Réel 2024'!$C$8:$AO$501)</f>
        <v>691663.80999999959</v>
      </c>
      <c r="P295" s="208">
        <f t="shared" ref="P295:P303" si="57">IF(O295=0,0,Q295/O295)</f>
        <v>0.39906731566597298</v>
      </c>
      <c r="Q295" s="180" cm="1">
        <f t="array" ref="Q295">+SUMPRODUCT(('Réel 2024'!$A$8:$A$501=$A295)*('Réel 2024'!$C$3:$AO$3=Q$2),'Réel 2024'!$C$8:$AO$501)</f>
        <v>276020.4199999994</v>
      </c>
      <c r="R295" s="293">
        <f>IF(O295=0,0,(J295-O295)/O295)</f>
        <v>-0.93108728646652761</v>
      </c>
      <c r="S295" s="197">
        <f t="shared" ref="S295:S304" si="58">L295-Q295</f>
        <v>-255688.24999999942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2"/>
        <v>PiècesPièces Ro Carrosserie</v>
      </c>
      <c r="B296" s="24" t="s">
        <v>167</v>
      </c>
      <c r="C296" s="251" t="s">
        <v>170</v>
      </c>
      <c r="D296" s="195" cm="1">
        <f t="array" ref="D296">+SUMPRODUCT(('Budget original'!$A$8:$A$501=$A296)*('Budget original'!$C$3:$AO$3=D$2),'Budget original'!$C$8:$AO$501)</f>
        <v>0</v>
      </c>
      <c r="E296" s="208">
        <f t="shared" si="53"/>
        <v>0</v>
      </c>
      <c r="F296" s="197" cm="1">
        <f t="array" ref="F296">+SUMPRODUCT(('Budget original'!$A$8:$A$501=$A296)*('Budget original'!$C$3:$AO$3=F$2),'Budget original'!$C$8:$AO$501)</f>
        <v>0</v>
      </c>
      <c r="G296" s="195"/>
      <c r="H296" s="208"/>
      <c r="I296" s="197"/>
      <c r="J296" s="179">
        <f>-SUMIFS(BV_Data_An_Cour!$P:$P,BV_Data_An_Cour!$X:$X,"Oui",BV_Data_An_Cour!$U:$U,$B296,BV_Data_An_Cour!$V:$V,$C296)</f>
        <v>0</v>
      </c>
      <c r="K296" s="208">
        <f t="shared" si="54"/>
        <v>0</v>
      </c>
      <c r="L296" s="180">
        <f>-SUMIFS(BV_Data_An_Cour!$P:$P,BV_Data_An_Cour!$U:$U,$B296,BV_Data_An_Cour!$V:$V,$C296,BV_Data_An_Cour!$W:$W,$L$2)</f>
        <v>0</v>
      </c>
      <c r="M296" s="293" t="e">
        <f t="shared" si="55"/>
        <v>#DIV/0!</v>
      </c>
      <c r="N296" s="225">
        <f t="shared" si="56"/>
        <v>0</v>
      </c>
      <c r="O296" s="179" cm="1">
        <f t="array" ref="O296">+SUMPRODUCT(('Réel 2024'!$A$8:$A$501=$A296)*('Réel 2024'!$C$3:$AO$3=O$2),'Réel 2024'!$C$8:$AO$501)</f>
        <v>7465.0599999999995</v>
      </c>
      <c r="P296" s="208">
        <f t="shared" si="57"/>
        <v>0.32626127586382414</v>
      </c>
      <c r="Q296" s="180" cm="1">
        <f t="array" ref="Q296">+SUMPRODUCT(('Réel 2024'!$A$8:$A$501=$A296)*('Réel 2024'!$C$3:$AO$3=Q$2),'Réel 2024'!$C$8:$AO$501)</f>
        <v>2435.559999999999</v>
      </c>
      <c r="R296" s="293">
        <f t="shared" ref="R296:R303" si="59">IF(O296=0,0,(J296-O296)/O296)</f>
        <v>-1</v>
      </c>
      <c r="S296" s="197">
        <f t="shared" si="58"/>
        <v>-2435.559999999999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2"/>
        <v>PiècesP/A Garantie</v>
      </c>
      <c r="B297" s="24" t="s">
        <v>167</v>
      </c>
      <c r="C297" s="251" t="s">
        <v>171</v>
      </c>
      <c r="D297" s="195" cm="1">
        <f t="array" ref="D297">+SUMPRODUCT(('Budget original'!$A$8:$A$501=$A297)*('Budget original'!$C$3:$AO$3=D$2),'Budget original'!$C$8:$AO$501)</f>
        <v>600000</v>
      </c>
      <c r="E297" s="208">
        <f t="shared" si="53"/>
        <v>0.28499999999999998</v>
      </c>
      <c r="F297" s="197" cm="1">
        <f t="array" ref="F297">+SUMPRODUCT(('Budget original'!$A$8:$A$501=$A297)*('Budget original'!$C$3:$AO$3=F$2),'Budget original'!$C$8:$AO$501)</f>
        <v>170999.99999999997</v>
      </c>
      <c r="G297" s="195"/>
      <c r="H297" s="208"/>
      <c r="I297" s="197"/>
      <c r="J297" s="179">
        <f>-SUMIFS(BV_Data_An_Cour!$P:$P,BV_Data_An_Cour!$X:$X,"Oui",BV_Data_An_Cour!$U:$U,$B297,BV_Data_An_Cour!$V:$V,$C297)</f>
        <v>26379.730000000003</v>
      </c>
      <c r="K297" s="208">
        <f t="shared" si="54"/>
        <v>0.28704274077103925</v>
      </c>
      <c r="L297" s="180">
        <f>-SUMIFS(BV_Data_An_Cour!$P:$P,BV_Data_An_Cour!$U:$U,$B297,BV_Data_An_Cour!$V:$V,$C297,BV_Data_An_Cour!$W:$W,$L$2)</f>
        <v>7572.1100000000079</v>
      </c>
      <c r="M297" s="293">
        <f t="shared" si="55"/>
        <v>-0.95603378333333333</v>
      </c>
      <c r="N297" s="225">
        <f t="shared" si="56"/>
        <v>-163427.88999999996</v>
      </c>
      <c r="O297" s="179" cm="1">
        <f t="array" ref="O297">+SUMPRODUCT(('Réel 2024'!$A$8:$A$501=$A297)*('Réel 2024'!$C$3:$AO$3=O$2),'Réel 2024'!$C$8:$AO$501)</f>
        <v>705651.38999999943</v>
      </c>
      <c r="P297" s="208">
        <f t="shared" si="57"/>
        <v>0.28172483299437628</v>
      </c>
      <c r="Q297" s="180" cm="1">
        <f t="array" ref="Q297">+SUMPRODUCT(('Réel 2024'!$A$8:$A$501=$A297)*('Réel 2024'!$C$3:$AO$3=Q$2),'Réel 2024'!$C$8:$AO$501)</f>
        <v>198799.51999999932</v>
      </c>
      <c r="R297" s="293">
        <f t="shared" si="59"/>
        <v>-0.96261648404037015</v>
      </c>
      <c r="S297" s="197">
        <f t="shared" si="58"/>
        <v>-191227.40999999931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2"/>
        <v>PiècesVentes Internes</v>
      </c>
      <c r="B298" s="24" t="s">
        <v>167</v>
      </c>
      <c r="C298" s="251" t="s">
        <v>172</v>
      </c>
      <c r="D298" s="195" cm="1">
        <f t="array" ref="D298">+SUMPRODUCT(('Budget original'!$A$8:$A$501=$A298)*('Budget original'!$C$3:$AO$3=D$2),'Budget original'!$C$8:$AO$501)</f>
        <v>254799.99999999997</v>
      </c>
      <c r="E298" s="208">
        <f t="shared" si="53"/>
        <v>0.35</v>
      </c>
      <c r="F298" s="197" cm="1">
        <f t="array" ref="F298">+SUMPRODUCT(('Budget original'!$A$8:$A$501=$A298)*('Budget original'!$C$3:$AO$3=F$2),'Budget original'!$C$8:$AO$501)</f>
        <v>89179.999999999985</v>
      </c>
      <c r="G298" s="195"/>
      <c r="H298" s="208"/>
      <c r="I298" s="197"/>
      <c r="J298" s="179">
        <f>-SUMIFS(BV_Data_An_Cour!$P:$P,BV_Data_An_Cour!$X:$X,"Oui",BV_Data_An_Cour!$U:$U,$B298,BV_Data_An_Cour!$V:$V,$C298)</f>
        <v>14139.380000000001</v>
      </c>
      <c r="K298" s="208">
        <f t="shared" si="54"/>
        <v>0.2701172187182182</v>
      </c>
      <c r="L298" s="180">
        <f>-SUMIFS(BV_Data_An_Cour!$P:$P,BV_Data_An_Cour!$U:$U,$B298,BV_Data_An_Cour!$V:$V,$C298,BV_Data_An_Cour!$W:$W,$L$2)</f>
        <v>3819.2900000000004</v>
      </c>
      <c r="M298" s="293">
        <f t="shared" si="55"/>
        <v>-0.94450792778649917</v>
      </c>
      <c r="N298" s="225">
        <f t="shared" si="56"/>
        <v>-85360.709999999992</v>
      </c>
      <c r="O298" s="179" cm="1">
        <f t="array" ref="O298">+SUMPRODUCT(('Réel 2024'!$A$8:$A$501=$A298)*('Réel 2024'!$C$3:$AO$3=O$2),'Réel 2024'!$C$8:$AO$501)</f>
        <v>215481.36</v>
      </c>
      <c r="P298" s="208">
        <f t="shared" si="57"/>
        <v>0.33547096602694543</v>
      </c>
      <c r="Q298" s="180" cm="1">
        <f t="array" ref="Q298">+SUMPRODUCT(('Réel 2024'!$A$8:$A$501=$A298)*('Réel 2024'!$C$3:$AO$3=Q$2),'Réel 2024'!$C$8:$AO$501)</f>
        <v>72287.739999999991</v>
      </c>
      <c r="R298" s="293">
        <f t="shared" si="59"/>
        <v>-0.93438235214405552</v>
      </c>
      <c r="S298" s="197">
        <f t="shared" si="58"/>
        <v>-68468.45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2"/>
        <v>PiècesVentes Détails</v>
      </c>
      <c r="B299" s="24" t="s">
        <v>167</v>
      </c>
      <c r="C299" s="251" t="s">
        <v>173</v>
      </c>
      <c r="D299" s="195" cm="1">
        <f t="array" ref="D299">+SUMPRODUCT(('Budget original'!$A$8:$A$501=$A299)*('Budget original'!$C$3:$AO$3=D$2),'Budget original'!$C$8:$AO$501)</f>
        <v>297000</v>
      </c>
      <c r="E299" s="208">
        <f t="shared" si="53"/>
        <v>0.29999999999999993</v>
      </c>
      <c r="F299" s="197" cm="1">
        <f t="array" ref="F299">+SUMPRODUCT(('Budget original'!$A$8:$A$501=$A299)*('Budget original'!$C$3:$AO$3=F$2),'Budget original'!$C$8:$AO$501)</f>
        <v>89099.999999999985</v>
      </c>
      <c r="G299" s="195"/>
      <c r="H299" s="208"/>
      <c r="I299" s="197"/>
      <c r="J299" s="179">
        <f>-SUMIFS(BV_Data_An_Cour!$P:$P,BV_Data_An_Cour!$X:$X,"Oui",BV_Data_An_Cour!$U:$U,$B299,BV_Data_An_Cour!$V:$V,$C299)</f>
        <v>13877.710000000001</v>
      </c>
      <c r="K299" s="208">
        <f t="shared" si="54"/>
        <v>0.30979750981970378</v>
      </c>
      <c r="L299" s="180">
        <f>-SUMIFS(BV_Data_An_Cour!$P:$P,BV_Data_An_Cour!$U:$U,$B299,BV_Data_An_Cour!$V:$V,$C299,BV_Data_An_Cour!$W:$W,$L$2)</f>
        <v>4299.2800000000016</v>
      </c>
      <c r="M299" s="293">
        <f t="shared" si="55"/>
        <v>-0.95327370370370368</v>
      </c>
      <c r="N299" s="225">
        <f t="shared" si="56"/>
        <v>-84800.719999999987</v>
      </c>
      <c r="O299" s="179" cm="1">
        <f t="array" ref="O299">+SUMPRODUCT(('Réel 2024'!$A$8:$A$501=$A299)*('Réel 2024'!$C$3:$AO$3=O$2),'Réel 2024'!$C$8:$AO$501)</f>
        <v>314665.81999999966</v>
      </c>
      <c r="P299" s="208">
        <f t="shared" si="57"/>
        <v>0.2797598099469461</v>
      </c>
      <c r="Q299" s="180" cm="1">
        <f t="array" ref="Q299">+SUMPRODUCT(('Réel 2024'!$A$8:$A$501=$A299)*('Réel 2024'!$C$3:$AO$3=Q$2),'Réel 2024'!$C$8:$AO$501)</f>
        <v>88030.84999999986</v>
      </c>
      <c r="R299" s="293">
        <f t="shared" si="59"/>
        <v>-0.95589698938384848</v>
      </c>
      <c r="S299" s="197">
        <f t="shared" si="58"/>
        <v>-83731.569999999861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 cm="1">
        <f t="array" ref="D300">+SUMPRODUCT(('Budget original'!$A$8:$A$501=$A300)*('Budget original'!$C$3:$AO$3=D$2),'Budget original'!$C$8:$AO$501)</f>
        <v>580200</v>
      </c>
      <c r="E300" s="208">
        <f t="shared" si="53"/>
        <v>0.20000000000000004</v>
      </c>
      <c r="F300" s="197" cm="1">
        <f t="array" ref="F300">+SUMPRODUCT(('Budget original'!$A$8:$A$501=$A300)*('Budget original'!$C$3:$AO$3=F$2),'Budget original'!$C$8:$AO$501)</f>
        <v>116040.00000000001</v>
      </c>
      <c r="G300" s="195"/>
      <c r="H300" s="208"/>
      <c r="I300" s="197"/>
      <c r="J300" s="179">
        <f>-SUMIFS(BV_Data_An_Cour!$P:$P,BV_Data_An_Cour!$X:$X,"Oui",BV_Data_An_Cour!$U:$U,$B300,BV_Data_An_Cour!$V:$V,$C300)</f>
        <v>47567.43</v>
      </c>
      <c r="K300" s="208">
        <f t="shared" si="54"/>
        <v>0.19492875692464365</v>
      </c>
      <c r="L300" s="180">
        <f>-SUMIFS(BV_Data_An_Cour!$P:$P,BV_Data_An_Cour!$U:$U,$B300,BV_Data_An_Cour!$V:$V,$C300,BV_Data_An_Cour!$W:$W,$L$2)</f>
        <v>9272.260000000002</v>
      </c>
      <c r="M300" s="293">
        <f t="shared" si="55"/>
        <v>-0.91801546018614266</v>
      </c>
      <c r="N300" s="225">
        <f t="shared" si="56"/>
        <v>-106767.74000000002</v>
      </c>
      <c r="O300" s="179" cm="1">
        <f t="array" ref="O300">+SUMPRODUCT(('Réel 2024'!$A$8:$A$501=$A300)*('Réel 2024'!$C$3:$AO$3=O$2),'Réel 2024'!$C$8:$AO$501)</f>
        <v>531794.52</v>
      </c>
      <c r="P300" s="208">
        <f t="shared" si="57"/>
        <v>0.2038442780493486</v>
      </c>
      <c r="Q300" s="180" cm="1">
        <f t="array" ref="Q300">+SUMPRODUCT(('Réel 2024'!$A$8:$A$501=$A300)*('Réel 2024'!$C$3:$AO$3=Q$2),'Réel 2024'!$C$8:$AO$501)</f>
        <v>108403.26999999987</v>
      </c>
      <c r="R300" s="293">
        <f t="shared" si="59"/>
        <v>-0.91055298952685715</v>
      </c>
      <c r="S300" s="197">
        <f t="shared" si="58"/>
        <v>-99131.009999999864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 cm="1">
        <f t="array" ref="D301">+SUMPRODUCT(('Budget original'!$A$8:$A$501=$A301)*('Budget original'!$C$3:$AO$3=D$2),'Budget original'!$C$8:$AO$501)</f>
        <v>0</v>
      </c>
      <c r="E301" s="208">
        <f t="shared" si="53"/>
        <v>0</v>
      </c>
      <c r="F301" s="197" cm="1">
        <f t="array" ref="F301">+SUMPRODUCT(('Budget original'!$A$8:$A$501=$A301)*('Budget original'!$C$3:$AO$3=F$2),'Budget original'!$C$8:$AO$501)</f>
        <v>0</v>
      </c>
      <c r="G301" s="195"/>
      <c r="H301" s="208"/>
      <c r="I301" s="197"/>
      <c r="J301" s="179">
        <f>-SUMIFS(BV_Data_An_Cour!$P:$P,BV_Data_An_Cour!$X:$X,"Oui",BV_Data_An_Cour!$U:$U,$B301,BV_Data_An_Cour!$V:$V,$C301)</f>
        <v>0</v>
      </c>
      <c r="K301" s="208">
        <f>IF(J301&lt;=0,0,L301/J301)</f>
        <v>0</v>
      </c>
      <c r="L301" s="180">
        <f>-SUMIFS(BV_Data_An_Cour!$P:$P,BV_Data_An_Cour!$U:$U,$B301,BV_Data_An_Cour!$V:$V,$C301,BV_Data_An_Cour!$W:$W,$L$2)</f>
        <v>0</v>
      </c>
      <c r="M301" s="293" t="e">
        <f t="shared" si="55"/>
        <v>#DIV/0!</v>
      </c>
      <c r="N301" s="225">
        <f t="shared" si="56"/>
        <v>0</v>
      </c>
      <c r="O301" s="179" cm="1">
        <f t="array" ref="O301">+SUMPRODUCT(('Réel 2024'!$A$8:$A$501=$A301)*('Réel 2024'!$C$3:$AO$3=O$2),'Réel 2024'!$C$8:$AO$501)</f>
        <v>0</v>
      </c>
      <c r="P301" s="208">
        <f t="shared" si="57"/>
        <v>0</v>
      </c>
      <c r="Q301" s="180" cm="1">
        <f t="array" ref="Q301">+SUMPRODUCT(('Réel 2024'!$A$8:$A$501=$A301)*('Réel 2024'!$C$3:$AO$3=Q$2),'Réel 2024'!$C$8:$AO$501)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2"/>
        <v>PiècesEscomptes</v>
      </c>
      <c r="B302" s="24" t="s">
        <v>167</v>
      </c>
      <c r="C302" s="251" t="s">
        <v>175</v>
      </c>
      <c r="D302" s="195" cm="1">
        <f t="array" ref="D302">+SUMPRODUCT(('Budget original'!$A$8:$A$501=$A302)*('Budget original'!$C$3:$AO$3=D$2),'Budget original'!$C$8:$AO$501)</f>
        <v>0</v>
      </c>
      <c r="E302" s="208">
        <f t="shared" si="53"/>
        <v>0</v>
      </c>
      <c r="F302" s="197" cm="1">
        <f t="array" ref="F302">+SUMPRODUCT(('Budget original'!$A$8:$A$501=$A302)*('Budget original'!$C$3:$AO$3=F$2),'Budget original'!$C$8:$AO$501)</f>
        <v>65000</v>
      </c>
      <c r="G302" s="195"/>
      <c r="H302" s="208"/>
      <c r="I302" s="197"/>
      <c r="J302" s="179">
        <f>-SUMIFS(BV_Data_An_Cour!$P:$P,BV_Data_An_Cour!$X:$X,"Oui",BV_Data_An_Cour!$U:$U,$B302,BV_Data_An_Cour!$V:$V,$C302)</f>
        <v>0</v>
      </c>
      <c r="K302" s="208">
        <f t="shared" si="54"/>
        <v>0</v>
      </c>
      <c r="L302" s="180">
        <f>-SUMIFS(BV_Data_An_Cour!$P:$P,BV_Data_An_Cour!$U:$U,$B302,BV_Data_An_Cour!$V:$V,$C302,BV_Data_An_Cour!$W:$W,$L$2)</f>
        <v>44.22</v>
      </c>
      <c r="M302" s="293"/>
      <c r="N302" s="225">
        <f t="shared" si="56"/>
        <v>-64955.78</v>
      </c>
      <c r="O302" s="179" cm="1">
        <f t="array" ref="O302">+SUMPRODUCT(('Réel 2024'!$A$8:$A$501=$A302)*('Réel 2024'!$C$3:$AO$3=O$2),'Réel 2024'!$C$8:$AO$501)</f>
        <v>0</v>
      </c>
      <c r="P302" s="208">
        <f t="shared" si="57"/>
        <v>0</v>
      </c>
      <c r="Q302" s="180" cm="1">
        <f t="array" ref="Q302">+SUMPRODUCT(('Réel 2024'!$A$8:$A$501=$A302)*('Réel 2024'!$C$3:$AO$3=Q$2),'Réel 2024'!$C$8:$AO$501)</f>
        <v>66072.73</v>
      </c>
      <c r="R302" s="293">
        <f t="shared" si="59"/>
        <v>0</v>
      </c>
      <c r="S302" s="197">
        <f t="shared" si="58"/>
        <v>-66028.509999999995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2"/>
        <v>PiècesRectif. Inventaire</v>
      </c>
      <c r="B303" s="24" t="s">
        <v>167</v>
      </c>
      <c r="C303" s="294" t="s">
        <v>176</v>
      </c>
      <c r="D303" s="195" cm="1">
        <f t="array" ref="D303">+SUMPRODUCT(('Budget original'!$A$8:$A$501=$A303)*('Budget original'!$C$3:$AO$3=D$2),'Budget original'!$C$8:$AO$501)</f>
        <v>0</v>
      </c>
      <c r="E303" s="208">
        <f t="shared" si="53"/>
        <v>0</v>
      </c>
      <c r="F303" s="197" cm="1">
        <f t="array" ref="F303">+SUMPRODUCT(('Budget original'!$A$8:$A$501=$A303)*('Budget original'!$C$3:$AO$3=F$2),'Budget original'!$C$8:$AO$501)</f>
        <v>0</v>
      </c>
      <c r="G303" s="195"/>
      <c r="H303" s="208"/>
      <c r="I303" s="197"/>
      <c r="J303" s="179">
        <f>-SUMIFS(BV_Data_An_Cour!$P:$P,BV_Data_An_Cour!$X:$X,"Oui",BV_Data_An_Cour!$U:$U,$B303,BV_Data_An_Cour!$V:$V,$C303)</f>
        <v>0</v>
      </c>
      <c r="K303" s="208">
        <f t="shared" si="54"/>
        <v>0</v>
      </c>
      <c r="L303" s="180">
        <f>-SUMIFS(BV_Data_An_Cour!$P:$P,BV_Data_An_Cour!$U:$U,$B303,BV_Data_An_Cour!$V:$V,$C303,BV_Data_An_Cour!$W:$W,$L$2)</f>
        <v>0</v>
      </c>
      <c r="M303" s="293"/>
      <c r="N303" s="225">
        <f t="shared" si="56"/>
        <v>0</v>
      </c>
      <c r="O303" s="179" cm="1">
        <f t="array" ref="O303">+SUMPRODUCT(('Réel 2024'!$A$8:$A$501=$A303)*('Réel 2024'!$C$3:$AO$3=O$2),'Réel 2024'!$C$8:$AO$501)</f>
        <v>0</v>
      </c>
      <c r="P303" s="208">
        <f t="shared" si="57"/>
        <v>0</v>
      </c>
      <c r="Q303" s="180" cm="1">
        <f t="array" ref="Q303">+SUMPRODUCT(('Réel 2024'!$A$8:$A$501=$A303)*('Réel 2024'!$C$3:$AO$3=Q$2),'Réel 2024'!$C$8:$AO$501)</f>
        <v>9377.1</v>
      </c>
      <c r="R303" s="293">
        <f t="shared" si="59"/>
        <v>0</v>
      </c>
      <c r="S303" s="197">
        <f t="shared" si="58"/>
        <v>-9377.1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2"/>
        <v>PiècesSous-total Pièces</v>
      </c>
      <c r="B304" s="24" t="s">
        <v>167</v>
      </c>
      <c r="C304" s="260" t="s">
        <v>177</v>
      </c>
      <c r="D304" s="196">
        <f>SUM(D295:D303)</f>
        <v>2484600</v>
      </c>
      <c r="E304" s="295">
        <f>IF(D304&lt;=0,0,F304/D304)</f>
        <v>0.33763422683731781</v>
      </c>
      <c r="F304" s="198">
        <f t="shared" ref="F304" si="60">SUM(F295:F303)</f>
        <v>838885.99999999988</v>
      </c>
      <c r="G304" s="196"/>
      <c r="H304" s="295"/>
      <c r="I304" s="198"/>
      <c r="J304" s="196">
        <f>SUM(J295:J303)</f>
        <v>149628.68000000002</v>
      </c>
      <c r="K304" s="295">
        <f t="shared" si="54"/>
        <v>0.30301229684041858</v>
      </c>
      <c r="L304" s="221">
        <f>SUM(L295:L303)</f>
        <v>45339.330000000009</v>
      </c>
      <c r="M304" s="296">
        <f>(+J304-D304)/D304</f>
        <v>-0.93977755775577554</v>
      </c>
      <c r="N304" s="221">
        <f t="shared" si="56"/>
        <v>-793546.66999999993</v>
      </c>
      <c r="O304" s="196">
        <f>SUM(O295:O303)</f>
        <v>2466721.959999999</v>
      </c>
      <c r="P304" s="295">
        <f>IF(O304&lt;=0,0,Q304/O304)</f>
        <v>0.33300355829320899</v>
      </c>
      <c r="Q304" s="221">
        <f t="shared" ref="Q304" si="61">SUM(Q295:Q303)</f>
        <v>821427.18999999843</v>
      </c>
      <c r="R304" s="296">
        <f>IF(O304=0,0,(J304-O304)/O304)</f>
        <v>-0.93934108406769923</v>
      </c>
      <c r="S304" s="198">
        <f t="shared" si="58"/>
        <v>-776087.85999999847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2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-0.94595293043393269</v>
      </c>
      <c r="O305" s="223"/>
      <c r="P305" s="178"/>
      <c r="Q305" s="265"/>
      <c r="R305" s="223"/>
      <c r="S305" s="262">
        <f>IF(Q304=0,0,S304/Q304)</f>
        <v>-0.94480420108810859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2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2"/>
        <v>PiècesVentes Pneus</v>
      </c>
      <c r="B307" s="24" t="s">
        <v>167</v>
      </c>
      <c r="C307" s="251" t="s">
        <v>178</v>
      </c>
      <c r="D307" s="195" cm="1">
        <f t="array" ref="D307">+SUMPRODUCT(('Budget original'!$A$8:$A$501=$A307)*('Budget original'!$C$3:$AO$3=D$2),'Budget original'!$C$8:$AO$501)</f>
        <v>800000</v>
      </c>
      <c r="E307" s="208">
        <f t="shared" ref="E307:E308" si="62">IF(D307=0,0,F307/D307)</f>
        <v>0.23999999999999996</v>
      </c>
      <c r="F307" s="199" cm="1">
        <f t="array" ref="F307">+SUMPRODUCT(('Budget original'!$A$8:$A$501=$A307)*('Budget original'!$C$3:$AO$3=F$2),'Budget original'!$C$8:$AO$501)</f>
        <v>191999.99999999997</v>
      </c>
      <c r="G307" s="195"/>
      <c r="H307" s="208"/>
      <c r="I307" s="199"/>
      <c r="J307" s="179">
        <f>-SUMIFS(BV_Data_An_Cour!$P:$P,BV_Data_An_Cour!$X:$X,"Oui",BV_Data_An_Cour!$U:$U,$B307,BV_Data_An_Cour!$V:$V,$C307)</f>
        <v>53238.36</v>
      </c>
      <c r="K307" s="208">
        <f>IF(J307&lt;=0,0,L307/J307)</f>
        <v>0.26193368841564613</v>
      </c>
      <c r="L307" s="180">
        <f>-SUMIFS(BV_Data_An_Cour!$P:$P,BV_Data_An_Cour!$U:$U,$B307,BV_Data_An_Cour!$V:$V,$C307,BV_Data_An_Cour!$W:$W,$L$2)</f>
        <v>13944.919999999998</v>
      </c>
      <c r="M307" s="293">
        <f>(+J307-D307)/D307</f>
        <v>-0.93345204999999998</v>
      </c>
      <c r="N307" s="225">
        <f>L307-F307</f>
        <v>-178055.07999999996</v>
      </c>
      <c r="O307" s="179" cm="1">
        <f t="array" ref="O307">+SUMPRODUCT(('Réel 2024'!$A$8:$A$501=$A307)*('Réel 2024'!$C$3:$AO$3=O$2),'Réel 2024'!$C$8:$AO$501)</f>
        <v>801655.19</v>
      </c>
      <c r="P307" s="208">
        <f t="shared" ref="P307:P308" si="63">IF(O307=0,0,Q307/O307)</f>
        <v>0.24752835442879059</v>
      </c>
      <c r="Q307" s="180" cm="1">
        <f t="array" ref="Q307">+SUMPRODUCT(('Réel 2024'!$A$8:$A$501=$A307)*('Réel 2024'!$C$3:$AO$3=Q$2),'Réel 2024'!$C$8:$AO$501)</f>
        <v>198432.38999999946</v>
      </c>
      <c r="R307" s="293">
        <f>IF(O307=0,0,(J307-O307)/O307)</f>
        <v>-0.93358945259245441</v>
      </c>
      <c r="S307" s="197">
        <f>L307-Q307</f>
        <v>-184487.46999999945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2"/>
        <v>PiècesHuiles et Graisse</v>
      </c>
      <c r="B308" s="24" t="s">
        <v>167</v>
      </c>
      <c r="C308" s="294" t="s">
        <v>179</v>
      </c>
      <c r="D308" s="195" cm="1">
        <f t="array" ref="D308">+SUMPRODUCT(('Budget original'!$A$8:$A$501=$A308)*('Budget original'!$C$3:$AO$3=D$2),'Budget original'!$C$8:$AO$501)</f>
        <v>135500</v>
      </c>
      <c r="E308" s="208">
        <f t="shared" si="62"/>
        <v>0.34399999999999997</v>
      </c>
      <c r="F308" s="200" cm="1">
        <f t="array" ref="F308">+SUMPRODUCT(('Budget original'!$A$8:$A$501=$A308)*('Budget original'!$C$3:$AO$3=F$2),'Budget original'!$C$8:$AO$501)</f>
        <v>46612</v>
      </c>
      <c r="G308" s="195"/>
      <c r="H308" s="208"/>
      <c r="I308" s="200"/>
      <c r="J308" s="179">
        <f>-SUMIFS(BV_Data_An_Cour!$P:$P,BV_Data_An_Cour!$X:$X,"Oui",BV_Data_An_Cour!$U:$U,$B308,BV_Data_An_Cour!$V:$V,$C308)</f>
        <v>8105.07</v>
      </c>
      <c r="K308" s="208">
        <f>IF(J308&lt;=0,0,L308/J308)</f>
        <v>0.35429798878973284</v>
      </c>
      <c r="L308" s="180">
        <f>-SUMIFS(BV_Data_An_Cour!$P:$P,BV_Data_An_Cour!$U:$U,$B308,BV_Data_An_Cour!$V:$V,$C308,BV_Data_An_Cour!$W:$W,$L$2)</f>
        <v>2871.6099999999997</v>
      </c>
      <c r="M308" s="293">
        <f>(+J308-D308)/D308</f>
        <v>-0.94018398523985236</v>
      </c>
      <c r="N308" s="225">
        <f>L308-F308</f>
        <v>-43740.39</v>
      </c>
      <c r="O308" s="179" cm="1">
        <f t="array" ref="O308">+SUMPRODUCT(('Réel 2024'!$A$8:$A$501=$A308)*('Réel 2024'!$C$3:$AO$3=O$2),'Réel 2024'!$C$8:$AO$501)</f>
        <v>132021.76999999999</v>
      </c>
      <c r="P308" s="208">
        <f t="shared" si="63"/>
        <v>0.34740687085167832</v>
      </c>
      <c r="Q308" s="180" cm="1">
        <f t="array" ref="Q308">+SUMPRODUCT(('Réel 2024'!$A$8:$A$501=$A308)*('Réel 2024'!$C$3:$AO$3=Q$2),'Réel 2024'!$C$8:$AO$501)</f>
        <v>45865.269999999975</v>
      </c>
      <c r="R308" s="293">
        <f>IF(O308=0,0,(J308-O308)/O308)</f>
        <v>-0.93860807956142378</v>
      </c>
      <c r="S308" s="197">
        <f>L308-Q308</f>
        <v>-42993.659999999974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2"/>
        <v>PiècesSous-total Pièces et Acc.</v>
      </c>
      <c r="B309" s="24" t="s">
        <v>167</v>
      </c>
      <c r="C309" s="260" t="s">
        <v>180</v>
      </c>
      <c r="D309" s="196">
        <f>D304+D307+D308</f>
        <v>3420100</v>
      </c>
      <c r="E309" s="295">
        <f>IF(D309&lt;=0,0,F309/D309)</f>
        <v>0.315048682787053</v>
      </c>
      <c r="F309" s="221">
        <f t="shared" ref="F309" si="64">F304+F307+F308</f>
        <v>1077498</v>
      </c>
      <c r="G309" s="222"/>
      <c r="H309" s="295"/>
      <c r="I309" s="221"/>
      <c r="J309" s="222">
        <f>J304+J307+J308</f>
        <v>210972.11000000004</v>
      </c>
      <c r="K309" s="295">
        <f>IF(J309&lt;=0,0,L309/J309)</f>
        <v>0.2946164779790087</v>
      </c>
      <c r="L309" s="221">
        <f>L304+L307+L308</f>
        <v>62155.860000000008</v>
      </c>
      <c r="M309" s="296">
        <f>(+J309-D309)/D309</f>
        <v>-0.9383140522206953</v>
      </c>
      <c r="N309" s="221">
        <f>L309-F309</f>
        <v>-1015342.14</v>
      </c>
      <c r="O309" s="222">
        <f>O304+O307+O308</f>
        <v>3400398.919999999</v>
      </c>
      <c r="P309" s="295">
        <f>IF(O309&lt;=0,0,Q309/O309)</f>
        <v>0.31341171288220443</v>
      </c>
      <c r="Q309" s="221">
        <f t="shared" ref="Q309" si="65">Q304+Q307+Q308</f>
        <v>1065724.8499999978</v>
      </c>
      <c r="R309" s="296">
        <f>IF(O309=0,0,(J309-O309)/O309)</f>
        <v>-0.93795665892047753</v>
      </c>
      <c r="S309" s="198">
        <f>L309-Q309</f>
        <v>-1003568.9899999978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2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-0.94231464002717402</v>
      </c>
      <c r="O310" s="223"/>
      <c r="P310" s="178"/>
      <c r="Q310" s="265"/>
      <c r="R310" s="223"/>
      <c r="S310" s="262">
        <f>IF(Q309=0,0,S309/Q309)</f>
        <v>-0.94167738511492893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 hidden="1">
      <c r="A311" t="str">
        <f t="shared" si="52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2"/>
        <v>PiècesAutostock</v>
      </c>
      <c r="B312" s="24" t="s">
        <v>167</v>
      </c>
      <c r="C312" s="294" t="s">
        <v>181</v>
      </c>
      <c r="D312" s="188" cm="1">
        <f t="array" ref="D312">+SUMPRODUCT(('Budget original'!$A$8:$A$501=$A312)*('Budget original'!$C$3:$AO$3=D$2),'Budget original'!$C$8:$AO$501)</f>
        <v>0</v>
      </c>
      <c r="E312" s="193">
        <f>IF(D312=0,0,F312/D312)</f>
        <v>0</v>
      </c>
      <c r="F312" s="194" cm="1">
        <f t="array" ref="F312">+SUMPRODUCT(('Budget original'!$A$8:$A$501=$A312)*('Budget original'!$C$3:$AO$3=F$2),'Budget original'!$C$8:$AO$501)</f>
        <v>0</v>
      </c>
      <c r="G312" s="209"/>
      <c r="H312" s="193"/>
      <c r="I312" s="194"/>
      <c r="J312" s="183">
        <f>-SUMIFS(BV_Data_An_Cour!$P:$P,BV_Data_An_Cour!$X:$X,"Oui",BV_Data_An_Cour!$U:$U,$B312,BV_Data_An_Cour!$V:$V,$C312)</f>
        <v>0</v>
      </c>
      <c r="K312" s="301">
        <f>IF(J312&lt;=0,0,L312/J312)</f>
        <v>0</v>
      </c>
      <c r="L312" s="177">
        <f>-SUMIFS(BV_Data_An_Cour!$P:$P,BV_Data_An_Cour!$U:$U,$B312,BV_Data_An_Cour!$V:$V,$C312,BV_Data_An_Cour!$W:$W,$L$2)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 cm="1">
        <f t="array" ref="O312">+SUMPRODUCT(('Réel 2024'!$A$8:$A$501=$A312)*('Réel 2024'!$C$3:$AO$3=O$2),'Réel 2024'!$C$8:$AO$501)</f>
        <v>0</v>
      </c>
      <c r="P312" s="301">
        <f>IF(O312=0,0,Q312/O312)</f>
        <v>0</v>
      </c>
      <c r="Q312" s="177" cm="1">
        <f t="array" ref="Q312">+SUMPRODUCT(('Réel 2024'!$A$8:$A$501=$A312)*('Réel 2024'!$C$3:$AO$3=Q$2),'Réel 2024'!$C$8:$AO$501)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2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2"/>
        <v>PiècesTotal Dépt. Pièces</v>
      </c>
      <c r="B314" s="24" t="s">
        <v>167</v>
      </c>
      <c r="C314" s="256" t="s">
        <v>182</v>
      </c>
      <c r="D314" s="26">
        <f>D309+D312</f>
        <v>3420100</v>
      </c>
      <c r="E314" s="71">
        <f>IF(D314&lt;=0,0,F314/D314)</f>
        <v>0.315048682787053</v>
      </c>
      <c r="F314" s="28">
        <f t="shared" ref="F314" si="66">F309+F312</f>
        <v>1077498</v>
      </c>
      <c r="G314" s="29"/>
      <c r="H314" s="71"/>
      <c r="I314" s="28"/>
      <c r="J314" s="29">
        <f>J309+J312</f>
        <v>210972.11000000004</v>
      </c>
      <c r="K314" s="71">
        <f>IF(J314&lt;=0,0,L314/J314)</f>
        <v>0.2946164779790087</v>
      </c>
      <c r="L314" s="28">
        <f>L309+L312</f>
        <v>62155.860000000008</v>
      </c>
      <c r="M314" s="72">
        <f>(+J314-D314)/D314</f>
        <v>-0.9383140522206953</v>
      </c>
      <c r="N314" s="73">
        <f>L314-F314</f>
        <v>-1015342.14</v>
      </c>
      <c r="O314" s="29">
        <f>O309+O312</f>
        <v>3400398.919999999</v>
      </c>
      <c r="P314" s="71">
        <f>IF(O314&lt;=0,0,Q314/O314)</f>
        <v>0.31341171288220443</v>
      </c>
      <c r="Q314" s="28">
        <f t="shared" ref="Q314" si="67">Q309+Q312</f>
        <v>1065724.8499999978</v>
      </c>
      <c r="R314" s="72">
        <f>IF(O314=0,0,(J314-O314)/O314)</f>
        <v>-0.93795665892047753</v>
      </c>
      <c r="S314" s="257">
        <f>L314-Q314</f>
        <v>-1003568.9899999978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2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-0.94231464002717402</v>
      </c>
      <c r="O315" s="77"/>
      <c r="P315" s="75"/>
      <c r="Q315" s="76"/>
      <c r="R315" s="78"/>
      <c r="S315" s="259">
        <f>IF(Q314=0,0,S314/Q314)</f>
        <v>-0.94167738511492893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2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2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2"/>
        <v>PiècesSalaires cadres</v>
      </c>
      <c r="B318" s="24" t="s">
        <v>167</v>
      </c>
      <c r="C318" s="267" t="s">
        <v>109</v>
      </c>
      <c r="D318" s="178"/>
      <c r="E318" s="178"/>
      <c r="F318" s="179" cm="1">
        <f t="array" ref="F318">+SUMPRODUCT(('Budget original'!$A$8:$A$501=$A318)*('Budget original'!$C$3:$AO$3=F$2),'Budget original'!$C$8:$AO$501)</f>
        <v>51145.723076923074</v>
      </c>
      <c r="G318" s="223"/>
      <c r="H318" s="178"/>
      <c r="I318" s="179"/>
      <c r="J318" s="223"/>
      <c r="K318" s="178"/>
      <c r="L318" s="180">
        <f>SUMIFS(BV_Data_An_Cour!$P:$P,BV_Data_An_Cour!$U:$U,$B318,BV_Data_An_Cour!$V:$V,$C318,BV_Data_An_Cour!$W:$W,$L$2)</f>
        <v>4471.09</v>
      </c>
      <c r="M318" s="223"/>
      <c r="N318" s="225">
        <f t="shared" ref="N318:N348" si="68">L318-F318</f>
        <v>-46674.63307692307</v>
      </c>
      <c r="O318" s="223"/>
      <c r="P318" s="178"/>
      <c r="Q318" s="180" cm="1">
        <f t="array" ref="Q318">+SUMPRODUCT(('Réel 2024'!$A$8:$A$501=$A318)*('Réel 2024'!$C$3:$AO$3=Q$2),'Réel 2024'!$C$8:$AO$501)</f>
        <v>38915.579999999994</v>
      </c>
      <c r="R318" s="223"/>
      <c r="S318" s="197">
        <f>L318-Q318</f>
        <v>-34444.489999999991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2"/>
        <v>PiècesSalaires commis</v>
      </c>
      <c r="B319" s="24" t="s">
        <v>167</v>
      </c>
      <c r="C319" s="268" t="s">
        <v>110</v>
      </c>
      <c r="D319" s="249"/>
      <c r="E319" s="178"/>
      <c r="F319" s="177" cm="1">
        <f t="array" ref="F319">+SUMPRODUCT(('Budget original'!$A$8:$A$501=$A319)*('Budget original'!$C$3:$AO$3=F$2),'Budget original'!$C$8:$AO$501)</f>
        <v>33795.4</v>
      </c>
      <c r="G319" s="269"/>
      <c r="H319" s="178"/>
      <c r="I319" s="177"/>
      <c r="J319" s="223"/>
      <c r="K319" s="178"/>
      <c r="L319" s="180">
        <f>SUMIFS(BV_Data_An_Cour!$P:$P,BV_Data_An_Cour!$U:$U,$B319,BV_Data_An_Cour!$V:$V,$C319,BV_Data_An_Cour!$W:$W,$L$2)</f>
        <v>1905.07</v>
      </c>
      <c r="M319" s="223"/>
      <c r="N319" s="225">
        <f t="shared" si="68"/>
        <v>-31890.33</v>
      </c>
      <c r="O319" s="223"/>
      <c r="P319" s="178"/>
      <c r="Q319" s="180" cm="1">
        <f t="array" ref="Q319">+SUMPRODUCT(('Réel 2024'!$A$8:$A$501=$A319)*('Réel 2024'!$C$3:$AO$3=Q$2),'Réel 2024'!$C$8:$AO$501)</f>
        <v>32563.379999999994</v>
      </c>
      <c r="R319" s="223"/>
      <c r="S319" s="197">
        <f t="shared" ref="S319:S343" si="69">L319-Q319</f>
        <v>-30658.309999999994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2"/>
        <v>PiècesSalaires autres</v>
      </c>
      <c r="B320" s="24" t="s">
        <v>167</v>
      </c>
      <c r="C320" s="267" t="s">
        <v>111</v>
      </c>
      <c r="D320" s="270"/>
      <c r="E320" s="271"/>
      <c r="F320" s="179" cm="1">
        <f t="array" ref="F320">+SUMPRODUCT(('Budget original'!$A$8:$A$501=$A320)*('Budget original'!$C$3:$AO$3=F$2),'Budget original'!$C$8:$AO$501)</f>
        <v>170693.44</v>
      </c>
      <c r="G320" s="272"/>
      <c r="H320" s="271"/>
      <c r="I320" s="179"/>
      <c r="J320" s="273"/>
      <c r="K320" s="271"/>
      <c r="L320" s="181">
        <f>SUMIFS(BV_Data_An_Cour!$P:$P,BV_Data_An_Cour!$U:$U,$B320,BV_Data_An_Cour!$V:$V,$C320,BV_Data_An_Cour!$W:$W,$L$2)</f>
        <v>13628.92</v>
      </c>
      <c r="M320" s="273"/>
      <c r="N320" s="274">
        <f t="shared" si="68"/>
        <v>-157064.51999999999</v>
      </c>
      <c r="O320" s="273"/>
      <c r="P320" s="271"/>
      <c r="Q320" s="181" cm="1">
        <f t="array" ref="Q320">+SUMPRODUCT(('Réel 2024'!$A$8:$A$501=$A320)*('Réel 2024'!$C$3:$AO$3=Q$2),'Réel 2024'!$C$8:$AO$501)</f>
        <v>155162.27999999997</v>
      </c>
      <c r="R320" s="273"/>
      <c r="S320" s="199">
        <f t="shared" si="69"/>
        <v>-141533.35999999996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52"/>
        <v>PiècesSalaires spécialistes</v>
      </c>
      <c r="B321" s="24" t="s">
        <v>167</v>
      </c>
      <c r="C321" s="267" t="s">
        <v>112</v>
      </c>
      <c r="D321" s="249"/>
      <c r="E321" s="178"/>
      <c r="F321" s="179" cm="1">
        <f t="array" ref="F321">+SUMPRODUCT(('Budget original'!$A$8:$A$501=$A321)*('Budget original'!$C$3:$AO$3=F$2),'Budget original'!$C$8:$AO$501)</f>
        <v>0</v>
      </c>
      <c r="G321" s="269"/>
      <c r="H321" s="178"/>
      <c r="I321" s="179"/>
      <c r="J321" s="223"/>
      <c r="K321" s="178"/>
      <c r="L321" s="180">
        <f>SUMIFS(BV_Data_An_Cour!$P:$P,BV_Data_An_Cour!$U:$U,$B321,BV_Data_An_Cour!$V:$V,$C321,BV_Data_An_Cour!$W:$W,$L$2)</f>
        <v>0</v>
      </c>
      <c r="M321" s="223"/>
      <c r="N321" s="225">
        <f t="shared" si="68"/>
        <v>0</v>
      </c>
      <c r="O321" s="223"/>
      <c r="P321" s="178"/>
      <c r="Q321" s="180" cm="1">
        <f t="array" ref="Q321">+SUMPRODUCT(('Réel 2024'!$A$8:$A$501=$A321)*('Réel 2024'!$C$3:$AO$3=Q$2),'Réel 2024'!$C$8:$AO$501)</f>
        <v>0</v>
      </c>
      <c r="R321" s="223"/>
      <c r="S321" s="197">
        <f t="shared" si="69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 cm="1">
        <f t="array" ref="F322">+SUMPRODUCT(('Budget original'!$A$8:$A$501=$A322)*('Budget original'!$C$3:$AO$3=F$2),'Budget original'!$C$8:$AO$501)</f>
        <v>0</v>
      </c>
      <c r="G322" s="269"/>
      <c r="H322" s="178"/>
      <c r="I322" s="179"/>
      <c r="J322" s="223"/>
      <c r="K322" s="178"/>
      <c r="L322" s="180">
        <f>SUMIFS(BV_Data_An_Cour!$P:$P,BV_Data_An_Cour!$U:$U,$B322,BV_Data_An_Cour!$V:$V,$C322,BV_Data_An_Cour!$W:$W,$L$2)</f>
        <v>0</v>
      </c>
      <c r="M322" s="223"/>
      <c r="N322" s="225">
        <f t="shared" si="68"/>
        <v>0</v>
      </c>
      <c r="O322" s="223"/>
      <c r="P322" s="178"/>
      <c r="Q322" s="180" cm="1">
        <f t="array" ref="Q322">+SUMPRODUCT(('Réel 2024'!$A$8:$A$501=$A322)*('Réel 2024'!$C$3:$AO$3=Q$2),'Réel 2024'!$C$8:$AO$501)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 cm="1">
        <f t="array" ref="F323">+SUMPRODUCT(('Budget original'!$A$8:$A$501=$A323)*('Budget original'!$C$3:$AO$3=F$2),'Budget original'!$C$8:$AO$501)</f>
        <v>0</v>
      </c>
      <c r="G323" s="269"/>
      <c r="H323" s="178"/>
      <c r="I323" s="179"/>
      <c r="J323" s="223"/>
      <c r="K323" s="178"/>
      <c r="L323" s="180">
        <f>SUMIFS(BV_Data_An_Cour!$P:$P,BV_Data_An_Cour!$U:$U,$B323,BV_Data_An_Cour!$V:$V,$C323,BV_Data_An_Cour!$W:$W,$L$2)</f>
        <v>0</v>
      </c>
      <c r="M323" s="223"/>
      <c r="N323" s="225">
        <f t="shared" si="68"/>
        <v>0</v>
      </c>
      <c r="O323" s="223"/>
      <c r="P323" s="178"/>
      <c r="Q323" s="180" cm="1">
        <f t="array" ref="Q323">+SUMPRODUCT(('Réel 2024'!$A$8:$A$501=$A323)*('Réel 2024'!$C$3:$AO$3=Q$2),'Réel 2024'!$C$8:$AO$501)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 cm="1">
        <f t="array" ref="F324">+SUMPRODUCT(('Budget original'!$A$8:$A$501=$A324)*('Budget original'!$C$3:$AO$3=F$2),'Budget original'!$C$8:$AO$501)</f>
        <v>0</v>
      </c>
      <c r="G324" s="269"/>
      <c r="H324" s="178"/>
      <c r="I324" s="179"/>
      <c r="J324" s="223"/>
      <c r="K324" s="178"/>
      <c r="L324" s="180">
        <f>SUMIFS(BV_Data_An_Cour!$P:$P,BV_Data_An_Cour!$U:$U,$B324,BV_Data_An_Cour!$V:$V,$C324,BV_Data_An_Cour!$W:$W,$L$2)</f>
        <v>0</v>
      </c>
      <c r="M324" s="223"/>
      <c r="N324" s="225">
        <f t="shared" si="68"/>
        <v>0</v>
      </c>
      <c r="O324" s="223"/>
      <c r="P324" s="178"/>
      <c r="Q324" s="180" cm="1">
        <f t="array" ref="Q324">+SUMPRODUCT(('Réel 2024'!$A$8:$A$501=$A324)*('Réel 2024'!$C$3:$AO$3=Q$2),'Réel 2024'!$C$8:$AO$501)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2"/>
        <v>PiècesSalaires en absences</v>
      </c>
      <c r="B325" s="24" t="s">
        <v>167</v>
      </c>
      <c r="C325" s="268" t="s">
        <v>113</v>
      </c>
      <c r="D325" s="249"/>
      <c r="E325" s="178"/>
      <c r="F325" s="177" cm="1">
        <f t="array" ref="F325">+SUMPRODUCT(('Budget original'!$A$8:$A$501=$A325)*('Budget original'!$C$3:$AO$3=F$2),'Budget original'!$C$8:$AO$501)</f>
        <v>33971.985520669259</v>
      </c>
      <c r="G325" s="269"/>
      <c r="H325" s="178"/>
      <c r="I325" s="177"/>
      <c r="J325" s="223"/>
      <c r="K325" s="178"/>
      <c r="L325" s="180">
        <f>SUMIFS(BV_Data_An_Cour!$P:$P,BV_Data_An_Cour!$U:$U,$B325,BV_Data_An_Cour!$V:$V,$C325,BV_Data_An_Cour!$W:$W,$L$2)</f>
        <v>-358.94</v>
      </c>
      <c r="M325" s="223"/>
      <c r="N325" s="225">
        <f t="shared" si="68"/>
        <v>-34330.925520669261</v>
      </c>
      <c r="O325" s="223"/>
      <c r="P325" s="178"/>
      <c r="Q325" s="180" cm="1">
        <f t="array" ref="Q325">+SUMPRODUCT(('Réel 2024'!$A$8:$A$501=$A325)*('Réel 2024'!$C$3:$AO$3=Q$2),'Réel 2024'!$C$8:$AO$501)</f>
        <v>30666.159999999996</v>
      </c>
      <c r="R325" s="223"/>
      <c r="S325" s="197">
        <f t="shared" si="69"/>
        <v>-31025.099999999995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2"/>
        <v>PiècesDéduction à la source</v>
      </c>
      <c r="B326" s="24" t="s">
        <v>167</v>
      </c>
      <c r="C326" s="267" t="s">
        <v>114</v>
      </c>
      <c r="D326" s="270"/>
      <c r="E326" s="271"/>
      <c r="F326" s="179" cm="1">
        <f t="array" ref="F326">+SUMPRODUCT(('Budget original'!$A$8:$A$501=$A326)*('Budget original'!$C$3:$AO$3=F$2),'Budget original'!$C$8:$AO$501)</f>
        <v>38971.385119418388</v>
      </c>
      <c r="G326" s="272"/>
      <c r="H326" s="271"/>
      <c r="I326" s="179"/>
      <c r="J326" s="273"/>
      <c r="K326" s="271"/>
      <c r="L326" s="181">
        <f>SUMIFS(BV_Data_An_Cour!$P:$P,BV_Data_An_Cour!$U:$U,$B326,BV_Data_An_Cour!$V:$V,$C326,BV_Data_An_Cour!$W:$W,$L$2)</f>
        <v>3529.86</v>
      </c>
      <c r="M326" s="273"/>
      <c r="N326" s="274">
        <f t="shared" si="68"/>
        <v>-35441.525119418387</v>
      </c>
      <c r="O326" s="273"/>
      <c r="P326" s="271"/>
      <c r="Q326" s="181" cm="1">
        <f t="array" ref="Q326">+SUMPRODUCT(('Réel 2024'!$A$8:$A$501=$A326)*('Réel 2024'!$C$3:$AO$3=Q$2),'Réel 2024'!$C$8:$AO$501)</f>
        <v>40449.560000000005</v>
      </c>
      <c r="R326" s="273"/>
      <c r="S326" s="199">
        <f t="shared" si="69"/>
        <v>-36919.700000000004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2"/>
        <v>PiècesBénéfices marginaux</v>
      </c>
      <c r="B327" s="24" t="s">
        <v>167</v>
      </c>
      <c r="C327" s="267" t="s">
        <v>115</v>
      </c>
      <c r="D327" s="249"/>
      <c r="E327" s="178"/>
      <c r="F327" s="179" cm="1">
        <f t="array" ref="F327">+SUMPRODUCT(('Budget original'!$A$8:$A$501=$A327)*('Budget original'!$C$3:$AO$3=F$2),'Budget original'!$C$8:$AO$501)</f>
        <v>20274.251630769235</v>
      </c>
      <c r="G327" s="269"/>
      <c r="H327" s="178"/>
      <c r="I327" s="179"/>
      <c r="J327" s="223"/>
      <c r="K327" s="178"/>
      <c r="L327" s="180">
        <f>SUMIFS(BV_Data_An_Cour!$P:$P,BV_Data_An_Cour!$U:$U,$B327,BV_Data_An_Cour!$V:$V,$C327,BV_Data_An_Cour!$W:$W,$L$2)</f>
        <v>2290.9499999999998</v>
      </c>
      <c r="M327" s="223"/>
      <c r="N327" s="225">
        <f t="shared" si="68"/>
        <v>-17983.301630769234</v>
      </c>
      <c r="O327" s="223"/>
      <c r="P327" s="178"/>
      <c r="Q327" s="180" cm="1">
        <f t="array" ref="Q327">+SUMPRODUCT(('Réel 2024'!$A$8:$A$501=$A327)*('Réel 2024'!$C$3:$AO$3=Q$2),'Réel 2024'!$C$8:$AO$501)</f>
        <v>20175.999999999996</v>
      </c>
      <c r="R327" s="223"/>
      <c r="S327" s="197">
        <f t="shared" si="69"/>
        <v>-17885.049999999996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2"/>
        <v>PiècesCsst</v>
      </c>
      <c r="B328" s="24" t="s">
        <v>167</v>
      </c>
      <c r="C328" s="267" t="s">
        <v>116</v>
      </c>
      <c r="D328" s="249"/>
      <c r="E328" s="178"/>
      <c r="F328" s="179" cm="1">
        <f t="array" ref="F328">+SUMPRODUCT(('Budget original'!$A$8:$A$501=$A328)*('Budget original'!$C$3:$AO$3=F$2),'Budget original'!$C$8:$AO$501)</f>
        <v>4344.4824923076922</v>
      </c>
      <c r="G328" s="269"/>
      <c r="H328" s="178"/>
      <c r="I328" s="179"/>
      <c r="J328" s="223"/>
      <c r="K328" s="178"/>
      <c r="L328" s="180">
        <f>SUMIFS(BV_Data_An_Cour!$P:$P,BV_Data_An_Cour!$U:$U,$B328,BV_Data_An_Cour!$V:$V,$C328,BV_Data_An_Cour!$W:$W,$L$2)</f>
        <v>742.08</v>
      </c>
      <c r="M328" s="746"/>
      <c r="N328" s="194">
        <f t="shared" si="68"/>
        <v>-3602.4024923076922</v>
      </c>
      <c r="O328" s="223"/>
      <c r="P328" s="178"/>
      <c r="Q328" s="180" cm="1">
        <f t="array" ref="Q328">+SUMPRODUCT(('Réel 2024'!$A$8:$A$501=$A328)*('Réel 2024'!$C$3:$AO$3=Q$2),'Réel 2024'!$C$8:$AO$501)</f>
        <v>3409.29</v>
      </c>
      <c r="R328" s="223"/>
      <c r="S328" s="197">
        <f t="shared" si="69"/>
        <v>-2667.21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2"/>
        <v>Pièces[...]</v>
      </c>
      <c r="B329" s="24" t="s">
        <v>167</v>
      </c>
      <c r="C329" s="251" t="s">
        <v>42</v>
      </c>
      <c r="D329" s="275"/>
      <c r="E329" s="276"/>
      <c r="F329" s="179" cm="1">
        <f t="array" ref="F329">+SUMPRODUCT(('Budget original'!$A$8:$A$501=$A329)*('Budget original'!$C$3:$AO$3=F$2),'Budget original'!$C$8:$AO$501)</f>
        <v>0</v>
      </c>
      <c r="G329" s="277"/>
      <c r="H329" s="276"/>
      <c r="I329" s="179"/>
      <c r="J329" s="278"/>
      <c r="K329" s="276"/>
      <c r="L329" s="180">
        <f>SUMIFS(BV_Data_An_Cour!$P:$P,BV_Data_An_Cour!$U:$U,$B329,BV_Data_An_Cour!$V:$V,$C329,BV_Data_An_Cour!$W:$W,$L$2)</f>
        <v>0</v>
      </c>
      <c r="M329" s="278"/>
      <c r="N329" s="279">
        <f t="shared" si="68"/>
        <v>0</v>
      </c>
      <c r="O329" s="278"/>
      <c r="P329" s="276"/>
      <c r="Q329" s="180" cm="1">
        <f t="array" ref="Q329">+SUMPRODUCT(('Réel 2024'!$A$8:$A$501=$A329)*('Réel 2024'!$C$3:$AO$3=Q$2),'Réel 2024'!$C$8:$AO$501)</f>
        <v>0</v>
      </c>
      <c r="R329" s="278"/>
      <c r="S329" s="200">
        <f t="shared" si="69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2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0.32779333960720819</v>
      </c>
      <c r="F330" s="41">
        <f>+SUM(F318:F329)</f>
        <v>353196.66784008761</v>
      </c>
      <c r="G330" s="42"/>
      <c r="H330" s="40"/>
      <c r="I330" s="41"/>
      <c r="J330" s="42" t="s">
        <v>108</v>
      </c>
      <c r="K330" s="40">
        <f>L330/L$314</f>
        <v>0.4216662757139874</v>
      </c>
      <c r="L330" s="41">
        <f>+SUM(L318:L329)</f>
        <v>26209.030000000006</v>
      </c>
      <c r="M330" s="43"/>
      <c r="N330" s="46">
        <f t="shared" si="68"/>
        <v>-326987.63784008758</v>
      </c>
      <c r="O330" s="42" t="s">
        <v>108</v>
      </c>
      <c r="P330" s="40">
        <f>Q330/Q$314</f>
        <v>0.30152459145529037</v>
      </c>
      <c r="Q330" s="41">
        <f>+SUM(Q318:Q329)</f>
        <v>321342.24999999994</v>
      </c>
      <c r="R330" s="43"/>
      <c r="S330" s="281">
        <f t="shared" si="69"/>
        <v>-295133.21999999991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2"/>
        <v>PiècesPublicité 2</v>
      </c>
      <c r="B331" s="24" t="s">
        <v>167</v>
      </c>
      <c r="C331" s="471" t="s">
        <v>118</v>
      </c>
      <c r="D331" s="249"/>
      <c r="E331" s="178"/>
      <c r="F331" s="179" cm="1">
        <f t="array" ref="F331">+SUMPRODUCT(('Budget original'!$A$8:$A$501=$A331)*('Budget original'!$C$3:$AO$3=F$2),'Budget original'!$C$8:$AO$501)</f>
        <v>36636.950000000004</v>
      </c>
      <c r="G331" s="269"/>
      <c r="H331" s="178"/>
      <c r="I331" s="179"/>
      <c r="J331" s="223"/>
      <c r="K331" s="178"/>
      <c r="L331" s="180">
        <f>SUMIFS(BV_Data_An_Cour!$P:$P,BV_Data_An_Cour!$U:$U,$B331,BV_Data_An_Cour!$V:$V,$C331,BV_Data_An_Cour!$W:$W,$L$2)</f>
        <v>813.13</v>
      </c>
      <c r="M331" s="223"/>
      <c r="N331" s="225">
        <f t="shared" si="68"/>
        <v>-35823.820000000007</v>
      </c>
      <c r="O331" s="223"/>
      <c r="P331" s="178"/>
      <c r="Q331" s="180" cm="1">
        <f t="array" ref="Q331">+SUMPRODUCT(('Réel 2024'!$A$8:$A$501=$A331)*('Réel 2024'!$C$3:$AO$3=Q$2),'Réel 2024'!$C$8:$AO$501)</f>
        <v>38906.42</v>
      </c>
      <c r="R331" s="223"/>
      <c r="S331" s="197">
        <f t="shared" si="69"/>
        <v>-38093.29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2"/>
        <v>PiècesService gratuit 2</v>
      </c>
      <c r="B332" s="24" t="s">
        <v>167</v>
      </c>
      <c r="C332" s="267" t="s">
        <v>119</v>
      </c>
      <c r="D332" s="249"/>
      <c r="E332" s="178"/>
      <c r="F332" s="179" cm="1">
        <f t="array" ref="F332">+SUMPRODUCT(('Budget original'!$A$8:$A$501=$A332)*('Budget original'!$C$3:$AO$3=F$2),'Budget original'!$C$8:$AO$501)</f>
        <v>6900</v>
      </c>
      <c r="G332" s="269"/>
      <c r="H332" s="178"/>
      <c r="I332" s="179"/>
      <c r="J332" s="223"/>
      <c r="K332" s="178"/>
      <c r="L332" s="225">
        <f>SUMIFS(BV_Data_An_Cour!$P:$P,BV_Data_An_Cour!$U:$U,$B332,BV_Data_An_Cour!$V:$V,$C332,BV_Data_An_Cour!$W:$W,$L$2)</f>
        <v>0</v>
      </c>
      <c r="M332" s="223"/>
      <c r="N332" s="225">
        <f t="shared" si="68"/>
        <v>-6900</v>
      </c>
      <c r="O332" s="223"/>
      <c r="P332" s="178"/>
      <c r="Q332" s="180" cm="1">
        <f t="array" ref="Q332">+SUMPRODUCT(('Réel 2024'!$A$8:$A$501=$A332)*('Réel 2024'!$C$3:$AO$3=Q$2),'Réel 2024'!$C$8:$AO$501)</f>
        <v>7545.0999999999985</v>
      </c>
      <c r="R332" s="223"/>
      <c r="S332" s="197">
        <f t="shared" si="69"/>
        <v>-7545.0999999999985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2"/>
        <v>PiècesFrais véhicules de cie</v>
      </c>
      <c r="B333" s="24" t="s">
        <v>167</v>
      </c>
      <c r="C333" s="268" t="s">
        <v>120</v>
      </c>
      <c r="D333" s="275"/>
      <c r="E333" s="276"/>
      <c r="F333" s="177" cm="1">
        <f t="array" ref="F333">+SUMPRODUCT(('Budget original'!$A$8:$A$501=$A333)*('Budget original'!$C$3:$AO$3=F$2),'Budget original'!$C$8:$AO$501)</f>
        <v>60947.200000000004</v>
      </c>
      <c r="G333" s="277"/>
      <c r="H333" s="276"/>
      <c r="I333" s="177"/>
      <c r="J333" s="278"/>
      <c r="K333" s="276"/>
      <c r="L333" s="279">
        <f>SUMIFS(BV_Data_An_Cour!$P:$P,BV_Data_An_Cour!$U:$U,$B333,BV_Data_An_Cour!$V:$V,$C333,BV_Data_An_Cour!$W:$W,$L$2)</f>
        <v>2142.3599999999997</v>
      </c>
      <c r="M333" s="278"/>
      <c r="N333" s="279">
        <f t="shared" si="68"/>
        <v>-58804.840000000004</v>
      </c>
      <c r="O333" s="278"/>
      <c r="P333" s="276"/>
      <c r="Q333" s="180" cm="1">
        <f t="array" ref="Q333">+SUMPRODUCT(('Réel 2024'!$A$8:$A$501=$A333)*('Réel 2024'!$C$3:$AO$3=Q$2),'Réel 2024'!$C$8:$AO$501)</f>
        <v>57108.679999999986</v>
      </c>
      <c r="R333" s="278"/>
      <c r="S333" s="200">
        <f t="shared" si="69"/>
        <v>-54966.319999999985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2"/>
        <v>PiècesInformatique</v>
      </c>
      <c r="B334" s="24" t="s">
        <v>167</v>
      </c>
      <c r="C334" s="267" t="s">
        <v>121</v>
      </c>
      <c r="D334" s="249"/>
      <c r="E334" s="178"/>
      <c r="F334" s="179" cm="1">
        <f t="array" ref="F334">+SUMPRODUCT(('Budget original'!$A$8:$A$501=$A334)*('Budget original'!$C$3:$AO$3=F$2),'Budget original'!$C$8:$AO$501)</f>
        <v>21921.599999999995</v>
      </c>
      <c r="G334" s="269"/>
      <c r="H334" s="178"/>
      <c r="I334" s="179"/>
      <c r="J334" s="223"/>
      <c r="K334" s="178"/>
      <c r="L334" s="181">
        <f>SUMIFS(BV_Data_An_Cour!$P:$P,BV_Data_An_Cour!$U:$U,$B334,BV_Data_An_Cour!$V:$V,$C334,BV_Data_An_Cour!$W:$W,$L$2)</f>
        <v>1887.1</v>
      </c>
      <c r="M334" s="223"/>
      <c r="N334" s="225">
        <f t="shared" si="68"/>
        <v>-20034.499999999996</v>
      </c>
      <c r="O334" s="223"/>
      <c r="P334" s="178"/>
      <c r="Q334" s="181" cm="1">
        <f t="array" ref="Q334">+SUMPRODUCT(('Réel 2024'!$A$8:$A$501=$A334)*('Réel 2024'!$C$3:$AO$3=Q$2),'Réel 2024'!$C$8:$AO$501)</f>
        <v>21479.54</v>
      </c>
      <c r="R334" s="223"/>
      <c r="S334" s="197">
        <f t="shared" si="69"/>
        <v>-19592.440000000002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2"/>
        <v>PiècesFrais de déplacement</v>
      </c>
      <c r="B335" s="24" t="s">
        <v>167</v>
      </c>
      <c r="C335" s="267" t="s">
        <v>122</v>
      </c>
      <c r="D335" s="249"/>
      <c r="E335" s="178"/>
      <c r="F335" s="179" cm="1">
        <f t="array" ref="F335">+SUMPRODUCT(('Budget original'!$A$8:$A$501=$A335)*('Budget original'!$C$3:$AO$3=F$2),'Budget original'!$C$8:$AO$501)</f>
        <v>4399.9999999999991</v>
      </c>
      <c r="G335" s="269"/>
      <c r="H335" s="178"/>
      <c r="I335" s="179"/>
      <c r="J335" s="223"/>
      <c r="K335" s="178"/>
      <c r="L335" s="180">
        <f>SUMIFS(BV_Data_An_Cour!$P:$P,BV_Data_An_Cour!$U:$U,$B335,BV_Data_An_Cour!$V:$V,$C335,BV_Data_An_Cour!$W:$W,$L$2)</f>
        <v>101.82</v>
      </c>
      <c r="M335" s="223"/>
      <c r="N335" s="225">
        <f t="shared" si="68"/>
        <v>-4298.1799999999994</v>
      </c>
      <c r="O335" s="223"/>
      <c r="P335" s="178"/>
      <c r="Q335" s="180" cm="1">
        <f t="array" ref="Q335">+SUMPRODUCT(('Réel 2024'!$A$8:$A$501=$A335)*('Réel 2024'!$C$3:$AO$3=Q$2),'Réel 2024'!$C$8:$AO$501)</f>
        <v>2754.8900000000003</v>
      </c>
      <c r="R335" s="223"/>
      <c r="S335" s="197">
        <f t="shared" si="69"/>
        <v>-2653.07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2"/>
        <v>PiècesServices extérieurs</v>
      </c>
      <c r="B336" s="24" t="s">
        <v>167</v>
      </c>
      <c r="C336" s="587" t="s">
        <v>123</v>
      </c>
      <c r="D336" s="275"/>
      <c r="E336" s="276"/>
      <c r="F336" s="177" cm="1">
        <f t="array" ref="F336">+SUMPRODUCT(('Budget original'!$A$8:$A$501=$A336)*('Budget original'!$C$3:$AO$3=F$2),'Budget original'!$C$8:$AO$501)</f>
        <v>24278.400000000005</v>
      </c>
      <c r="G336" s="277"/>
      <c r="H336" s="276"/>
      <c r="I336" s="177"/>
      <c r="J336" s="278"/>
      <c r="K336" s="276"/>
      <c r="L336" s="350">
        <f>SUMIFS(BV_Data_An_Cour!$P:$P,BV_Data_An_Cour!$U:$U,$B336,BV_Data_An_Cour!$V:$V,$C336,BV_Data_An_Cour!$W:$W,$L$2)</f>
        <v>2208.42</v>
      </c>
      <c r="M336" s="278"/>
      <c r="N336" s="279">
        <f t="shared" si="68"/>
        <v>-22069.980000000003</v>
      </c>
      <c r="O336" s="278"/>
      <c r="P336" s="276"/>
      <c r="Q336" s="350" cm="1">
        <f t="array" ref="Q336">+SUMPRODUCT(('Réel 2024'!$A$8:$A$501=$A336)*('Réel 2024'!$C$3:$AO$3=Q$2),'Réel 2024'!$C$8:$AO$501)</f>
        <v>21588.270000000004</v>
      </c>
      <c r="R336" s="278"/>
      <c r="S336" s="200">
        <f t="shared" si="69"/>
        <v>-19379.850000000006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SUMIFS(BV_Data_An_Cour!$P:$P,BV_Data_An_Cour!$U:$U,$B337,BV_Data_An_Cour!$V:$V,$C337,BV_Data_An_Cour!$W:$W,$L$2)</f>
        <v>0</v>
      </c>
      <c r="M337" s="223"/>
      <c r="N337" s="225">
        <f t="shared" si="68"/>
        <v>0</v>
      </c>
      <c r="O337" s="223"/>
      <c r="P337" s="178"/>
      <c r="Q337" s="180"/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2"/>
        <v>PiècesFournitures autres</v>
      </c>
      <c r="B338" s="24" t="s">
        <v>167</v>
      </c>
      <c r="C338" s="267" t="s">
        <v>124</v>
      </c>
      <c r="D338" s="249"/>
      <c r="E338" s="178"/>
      <c r="F338" s="179" cm="1">
        <f t="array" ref="F338">+SUMPRODUCT(('Budget original'!$A$8:$A$501=$A338)*('Budget original'!$C$3:$AO$3=F$2),'Budget original'!$C$8:$AO$501)</f>
        <v>120</v>
      </c>
      <c r="G338" s="269"/>
      <c r="H338" s="178"/>
      <c r="I338" s="179"/>
      <c r="J338" s="223"/>
      <c r="K338" s="178"/>
      <c r="L338" s="180">
        <f>SUMIFS(BV_Data_An_Cour!$P:$P,BV_Data_An_Cour!$U:$U,$B338,BV_Data_An_Cour!$V:$V,$C338,BV_Data_An_Cour!$W:$W,$L$2)</f>
        <v>5.82</v>
      </c>
      <c r="M338" s="223"/>
      <c r="N338" s="225">
        <f t="shared" si="68"/>
        <v>-114.18</v>
      </c>
      <c r="O338" s="223"/>
      <c r="P338" s="178"/>
      <c r="Q338" s="180" cm="1">
        <f t="array" ref="Q338">+SUMPRODUCT(('Réel 2024'!$A$8:$A$501=$A338)*('Réel 2024'!$C$3:$AO$3=Q$2),'Réel 2024'!$C$8:$AO$501)</f>
        <v>289.81</v>
      </c>
      <c r="R338" s="223"/>
      <c r="S338" s="197">
        <f t="shared" si="69"/>
        <v>-283.99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2"/>
        <v>PiècesUniformes</v>
      </c>
      <c r="B339" s="24" t="s">
        <v>167</v>
      </c>
      <c r="C339" s="267" t="s">
        <v>125</v>
      </c>
      <c r="D339" s="249"/>
      <c r="E339" s="178"/>
      <c r="F339" s="179" cm="1">
        <f t="array" ref="F339">+SUMPRODUCT(('Budget original'!$A$8:$A$501=$A339)*('Budget original'!$C$3:$AO$3=F$2),'Budget original'!$C$8:$AO$501)</f>
        <v>240</v>
      </c>
      <c r="G339" s="269"/>
      <c r="H339" s="178"/>
      <c r="I339" s="179"/>
      <c r="J339" s="223"/>
      <c r="K339" s="178"/>
      <c r="L339" s="180">
        <f>SUMIFS(BV_Data_An_Cour!$P:$P,BV_Data_An_Cour!$U:$U,$B339,BV_Data_An_Cour!$V:$V,$C339,BV_Data_An_Cour!$W:$W,$L$2)</f>
        <v>0</v>
      </c>
      <c r="M339" s="223"/>
      <c r="N339" s="225">
        <f t="shared" si="68"/>
        <v>-240</v>
      </c>
      <c r="O339" s="223"/>
      <c r="P339" s="178"/>
      <c r="Q339" s="180" cm="1">
        <f t="array" ref="Q339">+SUMPRODUCT(('Réel 2024'!$A$8:$A$501=$A339)*('Réel 2024'!$C$3:$AO$3=Q$2),'Réel 2024'!$C$8:$AO$501)</f>
        <v>184.7</v>
      </c>
      <c r="R339" s="223"/>
      <c r="S339" s="197">
        <f t="shared" si="69"/>
        <v>-184.7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2"/>
        <v>PiècesPapeterie</v>
      </c>
      <c r="B340" s="24" t="s">
        <v>167</v>
      </c>
      <c r="C340" s="267" t="s">
        <v>126</v>
      </c>
      <c r="D340" s="249"/>
      <c r="E340" s="178"/>
      <c r="F340" s="179" cm="1">
        <f t="array" ref="F340">+SUMPRODUCT(('Budget original'!$A$8:$A$501=$A340)*('Budget original'!$C$3:$AO$3=F$2),'Budget original'!$C$8:$AO$501)</f>
        <v>3780</v>
      </c>
      <c r="G340" s="269"/>
      <c r="H340" s="178"/>
      <c r="I340" s="179"/>
      <c r="J340" s="223"/>
      <c r="K340" s="178"/>
      <c r="L340" s="473">
        <f>SUMIFS(BV_Data_An_Cour!$P:$P,BV_Data_An_Cour!$U:$U,$B340,BV_Data_An_Cour!$V:$V,$C340,BV_Data_An_Cour!$W:$W,$L$2)</f>
        <v>115.12</v>
      </c>
      <c r="M340" s="223"/>
      <c r="N340" s="225">
        <f t="shared" si="68"/>
        <v>-3664.88</v>
      </c>
      <c r="O340" s="223"/>
      <c r="P340" s="178"/>
      <c r="Q340" s="473" cm="1">
        <f t="array" ref="Q340">+SUMPRODUCT(('Réel 2024'!$A$8:$A$501=$A340)*('Réel 2024'!$C$3:$AO$3=Q$2),'Réel 2024'!$C$8:$AO$501)</f>
        <v>3535.99</v>
      </c>
      <c r="R340" s="223"/>
      <c r="S340" s="197">
        <f t="shared" si="69"/>
        <v>-3420.87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2"/>
        <v>PiècesTéléphone</v>
      </c>
      <c r="B341" s="24" t="s">
        <v>167</v>
      </c>
      <c r="C341" s="267" t="s">
        <v>127</v>
      </c>
      <c r="D341" s="249"/>
      <c r="E341" s="178"/>
      <c r="F341" s="179" cm="1">
        <f t="array" ref="F341">+SUMPRODUCT(('Budget original'!$A$8:$A$501=$A341)*('Budget original'!$C$3:$AO$3=F$2),'Budget original'!$C$8:$AO$501)</f>
        <v>1420.8000000000002</v>
      </c>
      <c r="G341" s="269"/>
      <c r="H341" s="178"/>
      <c r="I341" s="179"/>
      <c r="J341" s="223"/>
      <c r="K341" s="178"/>
      <c r="L341" s="180">
        <f>SUMIFS(BV_Data_An_Cour!$P:$P,BV_Data_An_Cour!$U:$U,$B341,BV_Data_An_Cour!$V:$V,$C341,BV_Data_An_Cour!$W:$W,$L$2)</f>
        <v>180.43</v>
      </c>
      <c r="M341" s="223"/>
      <c r="N341" s="225">
        <f t="shared" si="68"/>
        <v>-1240.3700000000001</v>
      </c>
      <c r="O341" s="223"/>
      <c r="P341" s="178"/>
      <c r="Q341" s="180" cm="1">
        <f t="array" ref="Q341">+SUMPRODUCT(('Réel 2024'!$A$8:$A$501=$A341)*('Réel 2024'!$C$3:$AO$3=Q$2),'Réel 2024'!$C$8:$AO$501)</f>
        <v>1427.3799999999999</v>
      </c>
      <c r="R341" s="223"/>
      <c r="S341" s="197">
        <f t="shared" si="69"/>
        <v>-1246.9499999999998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2"/>
        <v>PiècesFrais postaux</v>
      </c>
      <c r="B342" s="24" t="s">
        <v>167</v>
      </c>
      <c r="C342" s="267" t="s">
        <v>128</v>
      </c>
      <c r="D342" s="249"/>
      <c r="E342" s="178"/>
      <c r="F342" s="179" cm="1">
        <f t="array" ref="F342">+SUMPRODUCT(('Budget original'!$A$8:$A$501=$A342)*('Budget original'!$C$3:$AO$3=F$2),'Budget original'!$C$8:$AO$501)</f>
        <v>7080</v>
      </c>
      <c r="G342" s="269"/>
      <c r="H342" s="178"/>
      <c r="I342" s="179"/>
      <c r="J342" s="223"/>
      <c r="K342" s="178"/>
      <c r="L342" s="180">
        <f>SUMIFS(BV_Data_An_Cour!$P:$P,BV_Data_An_Cour!$U:$U,$B342,BV_Data_An_Cour!$V:$V,$C342,BV_Data_An_Cour!$W:$W,$L$2)</f>
        <v>479.33</v>
      </c>
      <c r="M342" s="223"/>
      <c r="N342" s="225">
        <f t="shared" si="68"/>
        <v>-6600.67</v>
      </c>
      <c r="O342" s="223"/>
      <c r="P342" s="178"/>
      <c r="Q342" s="180" cm="1">
        <f t="array" ref="Q342">+SUMPRODUCT(('Réel 2024'!$A$8:$A$501=$A342)*('Réel 2024'!$C$3:$AO$3=Q$2),'Réel 2024'!$C$8:$AO$501)</f>
        <v>6059.36</v>
      </c>
      <c r="R342" s="223"/>
      <c r="S342" s="197">
        <f t="shared" si="69"/>
        <v>-5580.03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2"/>
        <v>PiècesDivers</v>
      </c>
      <c r="B343" s="24" t="s">
        <v>167</v>
      </c>
      <c r="C343" s="267" t="s">
        <v>129</v>
      </c>
      <c r="D343" s="249"/>
      <c r="E343" s="178"/>
      <c r="F343" s="179" cm="1">
        <f t="array" ref="F343">+SUMPRODUCT(('Budget original'!$A$8:$A$501=$A343)*('Budget original'!$C$3:$AO$3=F$2),'Budget original'!$C$8:$AO$501)</f>
        <v>4178.3999999999996</v>
      </c>
      <c r="G343" s="269"/>
      <c r="H343" s="178"/>
      <c r="I343" s="179"/>
      <c r="J343" s="223"/>
      <c r="K343" s="178"/>
      <c r="L343" s="180">
        <f>SUMIFS(BV_Data_An_Cour!$P:$P,BV_Data_An_Cour!$U:$U,$B343,BV_Data_An_Cour!$V:$V,$C343,BV_Data_An_Cour!$W:$W,$L$2)</f>
        <v>0</v>
      </c>
      <c r="M343" s="223"/>
      <c r="N343" s="225">
        <f t="shared" si="68"/>
        <v>-4178.3999999999996</v>
      </c>
      <c r="O343" s="223"/>
      <c r="P343" s="178"/>
      <c r="Q343" s="180" cm="1">
        <f t="array" ref="Q343">+SUMPRODUCT(('Réel 2024'!$A$8:$A$501=$A343)*('Réel 2024'!$C$3:$AO$3=Q$2),'Réel 2024'!$C$8:$AO$501)</f>
        <v>4033.7</v>
      </c>
      <c r="R343" s="223"/>
      <c r="S343" s="197">
        <f t="shared" si="69"/>
        <v>-4033.7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 cm="1">
        <f t="array" ref="F344">+SUMPRODUCT(('Budget original'!$A$8:$A$501=$A344)*('Budget original'!$C$3:$AO$3=F$2),'Budget original'!$C$8:$AO$501)</f>
        <v>3076.9787199999987</v>
      </c>
      <c r="G344" s="269"/>
      <c r="H344" s="178"/>
      <c r="I344" s="179"/>
      <c r="J344" s="223"/>
      <c r="K344" s="178"/>
      <c r="L344" s="225">
        <f>SUMIFS(BV_Data_An_Cour!$P:$P,BV_Data_An_Cour!$U:$U,$B344,BV_Data_An_Cour!$V:$V,$C344,BV_Data_An_Cour!$W:$W,$L$2)</f>
        <v>411.35</v>
      </c>
      <c r="M344" s="223"/>
      <c r="N344" s="225">
        <f t="shared" si="68"/>
        <v>-2665.6287199999988</v>
      </c>
      <c r="O344" s="223"/>
      <c r="P344" s="178"/>
      <c r="Q344" s="180" cm="1">
        <f t="array" ref="Q344">+SUMPRODUCT(('Réel 2024'!$A$8:$A$501=$A344)*('Réel 2024'!$C$3:$AO$3=Q$2),'Réel 2024'!$C$8:$AO$501)</f>
        <v>788.81</v>
      </c>
      <c r="R344" s="223"/>
      <c r="S344" s="197">
        <f>L344-Q344</f>
        <v>-377.45999999999992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 cm="1">
        <f t="array" ref="F345">+SUMPRODUCT(('Budget original'!$A$8:$A$501=$A345)*('Budget original'!$C$3:$AO$3=F$2),'Budget original'!$C$8:$AO$501)</f>
        <v>15705.270201176472</v>
      </c>
      <c r="G345" s="269"/>
      <c r="H345" s="178"/>
      <c r="I345" s="179"/>
      <c r="J345" s="223"/>
      <c r="K345" s="178"/>
      <c r="L345" s="473">
        <f>SUMIFS(BV_Data_An_Cour!$P:$P,BV_Data_An_Cour!$U:$U,$B345,BV_Data_An_Cour!$V:$V,$C345,BV_Data_An_Cour!$W:$W,$L$2)</f>
        <v>1023</v>
      </c>
      <c r="M345" s="223"/>
      <c r="N345" s="225">
        <f t="shared" si="68"/>
        <v>-14682.270201176472</v>
      </c>
      <c r="O345" s="223"/>
      <c r="P345" s="178"/>
      <c r="Q345" s="180" cm="1">
        <f t="array" ref="Q345">+SUMPRODUCT(('Réel 2024'!$A$8:$A$501=$A345)*('Réel 2024'!$C$3:$AO$3=Q$2),'Réel 2024'!$C$8:$AO$501)</f>
        <v>15948.069999999998</v>
      </c>
      <c r="R345" s="223"/>
      <c r="S345" s="197">
        <f>L345-Q345</f>
        <v>-14925.069999999998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 cm="1">
        <f t="array" ref="F346">+SUMPRODUCT(('Budget original'!$A$8:$A$501=$A346)*('Budget original'!$C$3:$AO$3=F$2),'Budget original'!$C$8:$AO$501)</f>
        <v>0</v>
      </c>
      <c r="G346" s="269"/>
      <c r="H346" s="178"/>
      <c r="I346" s="179"/>
      <c r="J346" s="223"/>
      <c r="K346" s="178"/>
      <c r="L346" s="180">
        <f>SUMIFS(BV_Data_An_Cour!$P:$P,BV_Data_An_Cour!$U:$U,$B346,BV_Data_An_Cour!$V:$V,$C346,BV_Data_An_Cour!$W:$W,$L$2)</f>
        <v>0</v>
      </c>
      <c r="M346" s="223"/>
      <c r="N346" s="225">
        <f t="shared" si="68"/>
        <v>0</v>
      </c>
      <c r="O346" s="223"/>
      <c r="P346" s="178"/>
      <c r="Q346" s="180" cm="1">
        <f t="array" ref="Q346">+SUMPRODUCT(('Réel 2024'!$A$8:$A$501=$A346)*('Réel 2024'!$C$3:$AO$3=Q$2),'Réel 2024'!$C$8:$AO$501)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 cm="1">
        <f t="array" ref="F347">+SUMPRODUCT(('Budget original'!$A$8:$A$501=$A347)*('Budget original'!$C$3:$AO$3=F$2),'Budget original'!$C$8:$AO$501)</f>
        <v>0</v>
      </c>
      <c r="G347" s="269"/>
      <c r="H347" s="178"/>
      <c r="I347" s="179"/>
      <c r="J347" s="223"/>
      <c r="K347" s="178"/>
      <c r="L347" s="180">
        <f>SUMIFS(BV_Data_An_Cour!$P:$P,BV_Data_An_Cour!$U:$U,$B347,BV_Data_An_Cour!$V:$V,$C347,BV_Data_An_Cour!$W:$W,$L$2)</f>
        <v>0</v>
      </c>
      <c r="M347" s="223"/>
      <c r="N347" s="225">
        <f t="shared" si="68"/>
        <v>0</v>
      </c>
      <c r="O347" s="223"/>
      <c r="P347" s="178"/>
      <c r="Q347" s="180" cm="1">
        <f t="array" ref="Q347">+SUMPRODUCT(('Réel 2024'!$A$8:$A$501=$A347)*('Réel 2024'!$C$3:$AO$3=Q$2),'Réel 2024'!$C$8:$AO$501)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 cm="1">
        <f t="array" ref="F348">+SUMPRODUCT(('Budget original'!$A$8:$A$501=$A348)*('Budget original'!$C$3:$AO$3=F$2),'Budget original'!$C$8:$AO$501)</f>
        <v>0</v>
      </c>
      <c r="G348" s="269"/>
      <c r="H348" s="178"/>
      <c r="I348" s="179"/>
      <c r="J348" s="223"/>
      <c r="K348" s="178"/>
      <c r="L348" s="180">
        <f>SUMIFS(BV_Data_An_Cour!$P:$P,BV_Data_An_Cour!$U:$U,$B348,BV_Data_An_Cour!$V:$V,$C348,BV_Data_An_Cour!$W:$W,$L$2)</f>
        <v>0</v>
      </c>
      <c r="M348" s="223"/>
      <c r="N348" s="225">
        <f t="shared" si="68"/>
        <v>0</v>
      </c>
      <c r="O348" s="223"/>
      <c r="P348" s="178"/>
      <c r="Q348" s="180" cm="1">
        <f t="array" ref="Q348">+SUMPRODUCT(('Réel 2024'!$A$8:$A$501=$A348)*('Réel 2024'!$C$3:$AO$3=Q$2),'Réel 2024'!$C$8:$AO$501)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0.17697072191426474</v>
      </c>
      <c r="F349" s="41">
        <f>+SUM(F331:F348)</f>
        <v>190685.59892117642</v>
      </c>
      <c r="G349" s="42"/>
      <c r="H349" s="40"/>
      <c r="I349" s="41"/>
      <c r="J349" s="42" t="s">
        <v>108</v>
      </c>
      <c r="K349" s="40">
        <f>L349/L$314</f>
        <v>0.15071595823788775</v>
      </c>
      <c r="L349" s="41">
        <f>+SUM(L331:L348)</f>
        <v>9367.8799999999992</v>
      </c>
      <c r="M349" s="44"/>
      <c r="N349" s="41">
        <f>+SUM(N331:N348)</f>
        <v>-181317.71892117648</v>
      </c>
      <c r="O349" s="42" t="s">
        <v>108</v>
      </c>
      <c r="P349" s="40">
        <f>Q349/Q$314</f>
        <v>0.170448047636311</v>
      </c>
      <c r="Q349" s="41">
        <f>+SUM(Q331:Q348)</f>
        <v>181650.72</v>
      </c>
      <c r="R349" s="44"/>
      <c r="S349" s="285">
        <f>+SUM(S331:S348)</f>
        <v>-172282.84000000003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0.50476406152147291</v>
      </c>
      <c r="F351" s="41">
        <f>F330+F349</f>
        <v>543882.26676126407</v>
      </c>
      <c r="G351" s="42"/>
      <c r="H351" s="40"/>
      <c r="I351" s="41"/>
      <c r="J351" s="42" t="s">
        <v>108</v>
      </c>
      <c r="K351" s="40">
        <f>L351/L$314</f>
        <v>0.57238223395187515</v>
      </c>
      <c r="L351" s="41">
        <f>L330+L349</f>
        <v>35576.910000000003</v>
      </c>
      <c r="M351" s="44"/>
      <c r="N351" s="46">
        <f>L351-F351</f>
        <v>-508305.35676126403</v>
      </c>
      <c r="O351" s="42" t="s">
        <v>108</v>
      </c>
      <c r="P351" s="40">
        <f>Q351/Q$314</f>
        <v>0.47197263909160136</v>
      </c>
      <c r="Q351" s="41">
        <f>Q330+Q349</f>
        <v>502992.97</v>
      </c>
      <c r="R351" s="44"/>
      <c r="S351" s="281">
        <f>L351-Q351</f>
        <v>-467416.05999999994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533615.73323873593</v>
      </c>
      <c r="G353" s="307"/>
      <c r="H353" s="305"/>
      <c r="I353" s="306"/>
      <c r="J353" s="308"/>
      <c r="K353" s="309"/>
      <c r="L353" s="306">
        <f>L314-L351</f>
        <v>26578.950000000004</v>
      </c>
      <c r="M353" s="308"/>
      <c r="N353" s="306">
        <f>L353-F353</f>
        <v>-507036.78323873592</v>
      </c>
      <c r="O353" s="308"/>
      <c r="P353" s="309"/>
      <c r="Q353" s="306">
        <f>Q314-Q351</f>
        <v>562731.87999999779</v>
      </c>
      <c r="R353" s="308"/>
      <c r="S353" s="310">
        <f>L353-Q353</f>
        <v>-536152.92999999784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79" t="s">
        <v>77</v>
      </c>
      <c r="E358" s="1280"/>
      <c r="F358" s="1281"/>
      <c r="G358" s="1284"/>
      <c r="H358" s="1280"/>
      <c r="I358" s="1281"/>
      <c r="J358" s="1284" t="s">
        <v>78</v>
      </c>
      <c r="K358" s="1280"/>
      <c r="L358" s="1281"/>
      <c r="M358" s="1284"/>
      <c r="N358" s="1281"/>
      <c r="O358" s="1279" t="s">
        <v>79</v>
      </c>
      <c r="P358" s="1280"/>
      <c r="Q358" s="1281"/>
      <c r="R358" s="1284" t="s">
        <v>80</v>
      </c>
      <c r="S358" s="1288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70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70"/>
        <v>BoutiqueBoutique</v>
      </c>
      <c r="B360" s="24" t="s">
        <v>183</v>
      </c>
      <c r="C360" s="256" t="s">
        <v>183</v>
      </c>
      <c r="D360" s="201" cm="1">
        <f t="array" ref="D360">+SUMPRODUCT(('Budget original'!$A$8:$A$501=$A360)*('Budget original'!$C$3:$AO$3=D$2),'Budget original'!$C$8:$AO$501)</f>
        <v>0</v>
      </c>
      <c r="E360" s="202">
        <f>IFERROR(F360/D360,0)</f>
        <v>0</v>
      </c>
      <c r="F360" s="206" cm="1">
        <f t="array" ref="F360">+SUMPRODUCT(('Budget original'!$A$8:$A$501=$A360)*('Budget original'!$C$3:$AO$3=F$2),'Budget original'!$C$8:$AO$501)</f>
        <v>0</v>
      </c>
      <c r="G360" s="201"/>
      <c r="H360" s="202"/>
      <c r="I360" s="201"/>
      <c r="J360" s="219">
        <f>-SUMIFS(BV_Data_An_Cour!$P:$P,BV_Data_An_Cour!$X:$X,"Oui",BV_Data_An_Cour!$U:$U,$B360,BV_Data_An_Cour!$V:$V,$C360)</f>
        <v>0</v>
      </c>
      <c r="K360" s="71">
        <f>IF(J360&lt;=0,0,L360/J360)</f>
        <v>0</v>
      </c>
      <c r="L360" s="218">
        <f>-SUMIFS(BV_Data_An_Cour!$P:$P,BV_Data_An_Cour!$X:$X,"Oui",BV_Data_An_Cour!$U:$U,$B360,BV_Data_An_Cour!$V:$V,$C360)</f>
        <v>0</v>
      </c>
      <c r="M360" s="72"/>
      <c r="N360" s="73"/>
      <c r="O360" s="219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18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70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70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 t="shared" ref="F362" si="71"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72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70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70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70"/>
        <v>BoutiqueSalaires cadres</v>
      </c>
      <c r="B365" s="24" t="s">
        <v>183</v>
      </c>
      <c r="C365" s="267" t="s">
        <v>109</v>
      </c>
      <c r="D365" s="178"/>
      <c r="E365" s="178"/>
      <c r="F365" s="179" cm="1">
        <f t="array" ref="F365">+SUMPRODUCT(('Budget original'!$A$8:$A$501=$A365)*('Budget original'!$C$3:$AO$3=F$2),'Budget original'!$C$8:$AO$501)</f>
        <v>0</v>
      </c>
      <c r="G365" s="223"/>
      <c r="H365" s="178"/>
      <c r="I365" s="179"/>
      <c r="J365" s="223"/>
      <c r="K365" s="178"/>
      <c r="L365" s="180">
        <f>-SUMIFS(BV_Data_An_Cour!$P:$P,BV_Data_An_Cour!$U:$U,$B365,BV_Data_An_Cour!$V:$V,$C365,BV_Data_An_Cour!$W:$W,$L$2)</f>
        <v>0</v>
      </c>
      <c r="M365" s="223"/>
      <c r="N365" s="265"/>
      <c r="O365" s="223"/>
      <c r="P365" s="178"/>
      <c r="Q365" s="180" cm="1">
        <f t="array" ref="Q365">+SUMPRODUCT(('Réel 2024'!$A$8:$A$501=$A365)*('Réel 2024'!$C$3:$AO$3=Q$2),'Réel 2024'!$C$8:$AO$501)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70"/>
        <v>BoutiqueSalaires commis</v>
      </c>
      <c r="B366" s="24" t="s">
        <v>183</v>
      </c>
      <c r="C366" s="268" t="s">
        <v>110</v>
      </c>
      <c r="D366" s="249"/>
      <c r="E366" s="178"/>
      <c r="F366" s="177" cm="1">
        <f t="array" ref="F366">+SUMPRODUCT(('Budget original'!$A$8:$A$501=$A366)*('Budget original'!$C$3:$AO$3=F$2),'Budget original'!$C$8:$AO$501)</f>
        <v>0</v>
      </c>
      <c r="G366" s="269"/>
      <c r="H366" s="178"/>
      <c r="I366" s="177"/>
      <c r="J366" s="223"/>
      <c r="K366" s="178"/>
      <c r="L366" s="177">
        <f>-SUMIFS(BV_Data_An_Cour!$P:$P,BV_Data_An_Cour!$U:$U,$B366,BV_Data_An_Cour!$V:$V,$C366,BV_Data_An_Cour!$W:$W,$L$2)</f>
        <v>0</v>
      </c>
      <c r="M366" s="223"/>
      <c r="N366" s="225"/>
      <c r="O366" s="223"/>
      <c r="P366" s="178"/>
      <c r="Q366" s="177" cm="1">
        <f t="array" ref="Q366">+SUMPRODUCT(('Réel 2024'!$A$8:$A$501=$A366)*('Réel 2024'!$C$3:$AO$3=Q$2),'Réel 2024'!$C$8:$AO$501)</f>
        <v>0</v>
      </c>
      <c r="R366" s="223"/>
      <c r="S366" s="197">
        <f t="shared" ref="S366:S394" si="73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70"/>
        <v>BoutiqueSalaires autres</v>
      </c>
      <c r="B367" s="24" t="s">
        <v>183</v>
      </c>
      <c r="C367" s="267" t="s">
        <v>111</v>
      </c>
      <c r="D367" s="270"/>
      <c r="E367" s="271"/>
      <c r="F367" s="179" cm="1">
        <f t="array" ref="F367">+SUMPRODUCT(('Budget original'!$A$8:$A$501=$A367)*('Budget original'!$C$3:$AO$3=F$2),'Budget original'!$C$8:$AO$501)</f>
        <v>0</v>
      </c>
      <c r="G367" s="272"/>
      <c r="H367" s="271"/>
      <c r="I367" s="179"/>
      <c r="J367" s="273"/>
      <c r="K367" s="271"/>
      <c r="L367" s="180">
        <f>-SUMIFS(BV_Data_An_Cour!$P:$P,BV_Data_An_Cour!$U:$U,$B367,BV_Data_An_Cour!$V:$V,$C367,BV_Data_An_Cour!$W:$W,$L$2)</f>
        <v>0</v>
      </c>
      <c r="M367" s="273"/>
      <c r="N367" s="274"/>
      <c r="O367" s="273"/>
      <c r="P367" s="271"/>
      <c r="Q367" s="180" cm="1">
        <f t="array" ref="Q367">+SUMPRODUCT(('Réel 2024'!$A$8:$A$501=$A367)*('Réel 2024'!$C$3:$AO$3=Q$2),'Réel 2024'!$C$8:$AO$501)</f>
        <v>0</v>
      </c>
      <c r="R367" s="273"/>
      <c r="S367" s="199">
        <f t="shared" si="73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70"/>
        <v>BoutiqueSalaires spécialistes</v>
      </c>
      <c r="B368" s="24" t="s">
        <v>183</v>
      </c>
      <c r="C368" s="267" t="s">
        <v>112</v>
      </c>
      <c r="D368" s="249"/>
      <c r="E368" s="178"/>
      <c r="F368" s="179" cm="1">
        <f t="array" ref="F368">+SUMPRODUCT(('Budget original'!$A$8:$A$501=$A368)*('Budget original'!$C$3:$AO$3=F$2),'Budget original'!$C$8:$AO$501)</f>
        <v>0</v>
      </c>
      <c r="G368" s="269"/>
      <c r="H368" s="178"/>
      <c r="I368" s="179"/>
      <c r="J368" s="223"/>
      <c r="K368" s="178"/>
      <c r="L368" s="180">
        <f>-SUMIFS(BV_Data_An_Cour!$P:$P,BV_Data_An_Cour!$U:$U,$B368,BV_Data_An_Cour!$V:$V,$C368,BV_Data_An_Cour!$W:$W,$L$2)</f>
        <v>0</v>
      </c>
      <c r="M368" s="223"/>
      <c r="N368" s="225"/>
      <c r="O368" s="223"/>
      <c r="P368" s="178"/>
      <c r="Q368" s="180" cm="1">
        <f t="array" ref="Q368">+SUMPRODUCT(('Réel 2024'!$A$8:$A$501=$A368)*('Réel 2024'!$C$3:$AO$3=Q$2),'Réel 2024'!$C$8:$AO$501)</f>
        <v>0</v>
      </c>
      <c r="R368" s="223"/>
      <c r="S368" s="197">
        <f t="shared" si="73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70"/>
        <v>Boutique[...]</v>
      </c>
      <c r="B369" s="24" t="s">
        <v>183</v>
      </c>
      <c r="C369" s="251" t="s">
        <v>42</v>
      </c>
      <c r="D369" s="249"/>
      <c r="E369" s="178"/>
      <c r="F369" s="179" cm="1">
        <f t="array" ref="F369">+SUMPRODUCT(('Budget original'!$A$8:$A$501=$A369)*('Budget original'!$C$3:$AO$3=F$2),'Budget original'!$C$8:$AO$501)</f>
        <v>0</v>
      </c>
      <c r="G369" s="269"/>
      <c r="H369" s="178"/>
      <c r="I369" s="179"/>
      <c r="J369" s="223"/>
      <c r="K369" s="178"/>
      <c r="L369" s="180">
        <f>-SUMIFS(BV_Data_An_Cour!$P:$P,BV_Data_An_Cour!$U:$U,$B369,BV_Data_An_Cour!$V:$V,$C369,BV_Data_An_Cour!$W:$W,$L$2)</f>
        <v>0</v>
      </c>
      <c r="M369" s="223"/>
      <c r="N369" s="225"/>
      <c r="O369" s="223"/>
      <c r="P369" s="178"/>
      <c r="Q369" s="180" cm="1">
        <f t="array" ref="Q369">+SUMPRODUCT(('Réel 2024'!$A$8:$A$501=$A369)*('Réel 2024'!$C$3:$AO$3=Q$2),'Réel 2024'!$C$8:$AO$501)</f>
        <v>0</v>
      </c>
      <c r="R369" s="223"/>
      <c r="S369" s="197">
        <f t="shared" si="73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70"/>
        <v>Boutique[...]</v>
      </c>
      <c r="B370" s="24" t="s">
        <v>183</v>
      </c>
      <c r="C370" s="251" t="s">
        <v>42</v>
      </c>
      <c r="D370" s="249"/>
      <c r="E370" s="178"/>
      <c r="F370" s="179" cm="1">
        <f t="array" ref="F370">+SUMPRODUCT(('Budget original'!$A$8:$A$501=$A370)*('Budget original'!$C$3:$AO$3=F$2),'Budget original'!$C$8:$AO$501)</f>
        <v>0</v>
      </c>
      <c r="G370" s="269"/>
      <c r="H370" s="178"/>
      <c r="I370" s="179"/>
      <c r="J370" s="223"/>
      <c r="K370" s="178"/>
      <c r="L370" s="180">
        <f>-SUMIFS(BV_Data_An_Cour!$P:$P,BV_Data_An_Cour!$U:$U,$B370,BV_Data_An_Cour!$V:$V,$C370,BV_Data_An_Cour!$W:$W,$L$2)</f>
        <v>0</v>
      </c>
      <c r="M370" s="223"/>
      <c r="N370" s="225"/>
      <c r="O370" s="223"/>
      <c r="P370" s="178"/>
      <c r="Q370" s="180" cm="1">
        <f t="array" ref="Q370">+SUMPRODUCT(('Réel 2024'!$A$8:$A$501=$A370)*('Réel 2024'!$C$3:$AO$3=Q$2),'Réel 2024'!$C$8:$AO$501)</f>
        <v>0</v>
      </c>
      <c r="R370" s="223"/>
      <c r="S370" s="197">
        <f t="shared" si="73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70"/>
        <v>Boutique[...]</v>
      </c>
      <c r="B371" s="24" t="s">
        <v>183</v>
      </c>
      <c r="C371" s="251" t="s">
        <v>42</v>
      </c>
      <c r="D371" s="249"/>
      <c r="E371" s="178"/>
      <c r="F371" s="179" cm="1">
        <f t="array" ref="F371">+SUMPRODUCT(('Budget original'!$A$8:$A$501=$A371)*('Budget original'!$C$3:$AO$3=F$2),'Budget original'!$C$8:$AO$501)</f>
        <v>0</v>
      </c>
      <c r="G371" s="269"/>
      <c r="H371" s="178"/>
      <c r="I371" s="179"/>
      <c r="J371" s="223"/>
      <c r="K371" s="178"/>
      <c r="L371" s="180">
        <f>-SUMIFS(BV_Data_An_Cour!$P:$P,BV_Data_An_Cour!$U:$U,$B371,BV_Data_An_Cour!$V:$V,$C371,BV_Data_An_Cour!$W:$W,$L$2)</f>
        <v>0</v>
      </c>
      <c r="M371" s="223"/>
      <c r="N371" s="225"/>
      <c r="O371" s="223"/>
      <c r="P371" s="178"/>
      <c r="Q371" s="180" cm="1">
        <f t="array" ref="Q371">+SUMPRODUCT(('Réel 2024'!$A$8:$A$501=$A371)*('Réel 2024'!$C$3:$AO$3=Q$2),'Réel 2024'!$C$8:$AO$501)</f>
        <v>0</v>
      </c>
      <c r="R371" s="223"/>
      <c r="S371" s="197">
        <f t="shared" si="73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70"/>
        <v>BoutiqueSalaires en absences</v>
      </c>
      <c r="B372" s="24" t="s">
        <v>183</v>
      </c>
      <c r="C372" s="268" t="s">
        <v>113</v>
      </c>
      <c r="D372" s="249"/>
      <c r="E372" s="178"/>
      <c r="F372" s="177" cm="1">
        <f t="array" ref="F372">+SUMPRODUCT(('Budget original'!$A$8:$A$501=$A372)*('Budget original'!$C$3:$AO$3=F$2),'Budget original'!$C$8:$AO$501)</f>
        <v>0</v>
      </c>
      <c r="G372" s="269"/>
      <c r="H372" s="178"/>
      <c r="I372" s="177"/>
      <c r="J372" s="223"/>
      <c r="K372" s="178"/>
      <c r="L372" s="177">
        <f>-SUMIFS(BV_Data_An_Cour!$P:$P,BV_Data_An_Cour!$U:$U,$B372,BV_Data_An_Cour!$V:$V,$C372,BV_Data_An_Cour!$W:$W,$L$2)</f>
        <v>0</v>
      </c>
      <c r="M372" s="223"/>
      <c r="N372" s="225"/>
      <c r="O372" s="223"/>
      <c r="P372" s="178"/>
      <c r="Q372" s="177" cm="1">
        <f t="array" ref="Q372">+SUMPRODUCT(('Réel 2024'!$A$8:$A$501=$A372)*('Réel 2024'!$C$3:$AO$3=Q$2),'Réel 2024'!$C$8:$AO$501)</f>
        <v>0</v>
      </c>
      <c r="R372" s="223"/>
      <c r="S372" s="197">
        <f t="shared" si="73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70"/>
        <v>BoutiqueDéduction à la source</v>
      </c>
      <c r="B373" s="24" t="s">
        <v>183</v>
      </c>
      <c r="C373" s="267" t="s">
        <v>114</v>
      </c>
      <c r="D373" s="270"/>
      <c r="E373" s="271"/>
      <c r="F373" s="179" cm="1">
        <f t="array" ref="F373">+SUMPRODUCT(('Budget original'!$A$8:$A$501=$A373)*('Budget original'!$C$3:$AO$3=F$2),'Budget original'!$C$8:$AO$501)</f>
        <v>0</v>
      </c>
      <c r="G373" s="272"/>
      <c r="H373" s="271"/>
      <c r="I373" s="179"/>
      <c r="J373" s="273"/>
      <c r="K373" s="271"/>
      <c r="L373" s="180">
        <f>-SUMIFS(BV_Data_An_Cour!$P:$P,BV_Data_An_Cour!$U:$U,$B373,BV_Data_An_Cour!$V:$V,$C373,BV_Data_An_Cour!$W:$W,$L$2)</f>
        <v>0</v>
      </c>
      <c r="M373" s="273"/>
      <c r="N373" s="274"/>
      <c r="O373" s="273"/>
      <c r="P373" s="271"/>
      <c r="Q373" s="180" cm="1">
        <f t="array" ref="Q373">+SUMPRODUCT(('Réel 2024'!$A$8:$A$501=$A373)*('Réel 2024'!$C$3:$AO$3=Q$2),'Réel 2024'!$C$8:$AO$501)</f>
        <v>0</v>
      </c>
      <c r="R373" s="273"/>
      <c r="S373" s="199">
        <f t="shared" si="73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70"/>
        <v>BoutiqueBénéfices marginaux</v>
      </c>
      <c r="B374" s="24" t="s">
        <v>183</v>
      </c>
      <c r="C374" s="267" t="s">
        <v>115</v>
      </c>
      <c r="D374" s="249"/>
      <c r="E374" s="178"/>
      <c r="F374" s="179" cm="1">
        <f t="array" ref="F374">+SUMPRODUCT(('Budget original'!$A$8:$A$501=$A374)*('Budget original'!$C$3:$AO$3=F$2),'Budget original'!$C$8:$AO$501)</f>
        <v>0</v>
      </c>
      <c r="G374" s="269"/>
      <c r="H374" s="178"/>
      <c r="I374" s="179"/>
      <c r="J374" s="223"/>
      <c r="K374" s="178"/>
      <c r="L374" s="180">
        <f>-SUMIFS(BV_Data_An_Cour!$P:$P,BV_Data_An_Cour!$U:$U,$B374,BV_Data_An_Cour!$V:$V,$C374,BV_Data_An_Cour!$W:$W,$L$2)</f>
        <v>0</v>
      </c>
      <c r="M374" s="223"/>
      <c r="N374" s="225"/>
      <c r="O374" s="223"/>
      <c r="P374" s="178"/>
      <c r="Q374" s="180" cm="1">
        <f t="array" ref="Q374">+SUMPRODUCT(('Réel 2024'!$A$8:$A$501=$A374)*('Réel 2024'!$C$3:$AO$3=Q$2),'Réel 2024'!$C$8:$AO$501)</f>
        <v>0</v>
      </c>
      <c r="R374" s="223"/>
      <c r="S374" s="197">
        <f t="shared" si="73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70"/>
        <v>BoutiqueCsst</v>
      </c>
      <c r="B375" s="24" t="s">
        <v>183</v>
      </c>
      <c r="C375" s="267" t="s">
        <v>116</v>
      </c>
      <c r="D375" s="249"/>
      <c r="E375" s="178"/>
      <c r="F375" s="179" cm="1">
        <f t="array" ref="F375">+SUMPRODUCT(('Budget original'!$A$8:$A$501=$A375)*('Budget original'!$C$3:$AO$3=F$2),'Budget original'!$C$8:$AO$501)</f>
        <v>0</v>
      </c>
      <c r="G375" s="269"/>
      <c r="H375" s="178"/>
      <c r="I375" s="179"/>
      <c r="J375" s="223"/>
      <c r="K375" s="178"/>
      <c r="L375" s="180">
        <f>-SUMIFS(BV_Data_An_Cour!$P:$P,BV_Data_An_Cour!$U:$U,$B375,BV_Data_An_Cour!$V:$V,$C375,BV_Data_An_Cour!$W:$W,$L$2)</f>
        <v>0</v>
      </c>
      <c r="M375" s="223"/>
      <c r="N375" s="225"/>
      <c r="O375" s="223"/>
      <c r="P375" s="178"/>
      <c r="Q375" s="180" cm="1">
        <f t="array" ref="Q375">+SUMPRODUCT(('Réel 2024'!$A$8:$A$501=$A375)*('Réel 2024'!$C$3:$AO$3=Q$2),'Réel 2024'!$C$8:$AO$501)</f>
        <v>0</v>
      </c>
      <c r="R375" s="223"/>
      <c r="S375" s="197">
        <f t="shared" si="73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70"/>
        <v>Boutique[...]</v>
      </c>
      <c r="B376" s="24" t="s">
        <v>183</v>
      </c>
      <c r="C376" s="251" t="s">
        <v>42</v>
      </c>
      <c r="D376" s="275"/>
      <c r="E376" s="276"/>
      <c r="F376" s="179" cm="1">
        <f t="array" ref="F376">+SUMPRODUCT(('Budget original'!$A$8:$A$501=$A376)*('Budget original'!$C$3:$AO$3=F$2),'Budget original'!$C$8:$AO$501)</f>
        <v>0</v>
      </c>
      <c r="G376" s="277"/>
      <c r="H376" s="276"/>
      <c r="I376" s="179"/>
      <c r="J376" s="278"/>
      <c r="K376" s="276"/>
      <c r="L376" s="180">
        <f>-SUMIFS(BV_Data_An_Cour!$P:$P,BV_Data_An_Cour!$U:$U,$B376,BV_Data_An_Cour!$V:$V,$C376,BV_Data_An_Cour!$W:$W,$L$2)</f>
        <v>0</v>
      </c>
      <c r="M376" s="278"/>
      <c r="N376" s="279"/>
      <c r="O376" s="278"/>
      <c r="P376" s="276"/>
      <c r="Q376" s="180" cm="1">
        <f t="array" ref="Q376">+SUMPRODUCT(('Réel 2024'!$A$8:$A$501=$A376)*('Réel 2024'!$C$3:$AO$3=Q$2),'Réel 2024'!$C$8:$AO$501)</f>
        <v>0</v>
      </c>
      <c r="R376" s="278"/>
      <c r="S376" s="200">
        <f t="shared" si="73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70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73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70"/>
        <v>BoutiquePublicité 2</v>
      </c>
      <c r="B378" s="24" t="s">
        <v>183</v>
      </c>
      <c r="C378" s="282" t="s">
        <v>118</v>
      </c>
      <c r="D378" s="249"/>
      <c r="E378" s="178"/>
      <c r="F378" s="179" cm="1">
        <f t="array" ref="F378">+SUMPRODUCT(('Budget original'!$A$8:$A$501=$A378)*('Budget original'!$C$3:$AO$3=F$2),'Budget original'!$C$8:$AO$501)</f>
        <v>0</v>
      </c>
      <c r="G378" s="269"/>
      <c r="H378" s="178"/>
      <c r="I378" s="179"/>
      <c r="J378" s="223"/>
      <c r="K378" s="178"/>
      <c r="L378" s="180">
        <f>-SUMIFS(BV_Data_An_Cour!$P:$P,BV_Data_An_Cour!$U:$U,$B378,BV_Data_An_Cour!$V:$V,$C378,BV_Data_An_Cour!$W:$W,$L$2)</f>
        <v>0</v>
      </c>
      <c r="M378" s="223"/>
      <c r="N378" s="225"/>
      <c r="O378" s="223"/>
      <c r="P378" s="178"/>
      <c r="Q378" s="180" cm="1">
        <f t="array" ref="Q378">+SUMPRODUCT(('Réel 2024'!$A$8:$A$501=$A378)*('Réel 2024'!$C$3:$AO$3=Q$2),'Réel 2024'!$C$8:$AO$501)</f>
        <v>0</v>
      </c>
      <c r="R378" s="223"/>
      <c r="S378" s="197">
        <f t="shared" si="73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70"/>
        <v>BoutiqueService gratuit 2</v>
      </c>
      <c r="B379" s="24" t="s">
        <v>183</v>
      </c>
      <c r="C379" s="267" t="s">
        <v>119</v>
      </c>
      <c r="D379" s="249"/>
      <c r="E379" s="178"/>
      <c r="F379" s="179" cm="1">
        <f t="array" ref="F379">+SUMPRODUCT(('Budget original'!$A$8:$A$501=$A379)*('Budget original'!$C$3:$AO$3=F$2),'Budget original'!$C$8:$AO$501)</f>
        <v>0</v>
      </c>
      <c r="G379" s="269"/>
      <c r="H379" s="178"/>
      <c r="I379" s="179"/>
      <c r="J379" s="223"/>
      <c r="K379" s="178"/>
      <c r="L379" s="180">
        <f>-SUMIFS(BV_Data_An_Cour!$P:$P,BV_Data_An_Cour!$U:$U,$B379,BV_Data_An_Cour!$V:$V,$C379,BV_Data_An_Cour!$W:$W,$L$2)</f>
        <v>0</v>
      </c>
      <c r="M379" s="223"/>
      <c r="N379" s="225"/>
      <c r="O379" s="223"/>
      <c r="P379" s="178"/>
      <c r="Q379" s="180" cm="1">
        <f t="array" ref="Q379">+SUMPRODUCT(('Réel 2024'!$A$8:$A$501=$A379)*('Réel 2024'!$C$3:$AO$3=Q$2),'Réel 2024'!$C$8:$AO$501)</f>
        <v>0</v>
      </c>
      <c r="R379" s="223"/>
      <c r="S379" s="197">
        <f t="shared" si="73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70"/>
        <v>BoutiqueFrais véhicules de cie</v>
      </c>
      <c r="B380" s="24" t="s">
        <v>183</v>
      </c>
      <c r="C380" s="268" t="s">
        <v>120</v>
      </c>
      <c r="D380" s="275"/>
      <c r="E380" s="276"/>
      <c r="F380" s="177" cm="1">
        <f t="array" ref="F380">+SUMPRODUCT(('Budget original'!$A$8:$A$501=$A380)*('Budget original'!$C$3:$AO$3=F$2),'Budget original'!$C$8:$AO$501)</f>
        <v>0</v>
      </c>
      <c r="G380" s="277"/>
      <c r="H380" s="276"/>
      <c r="I380" s="177"/>
      <c r="J380" s="278"/>
      <c r="K380" s="276"/>
      <c r="L380" s="177">
        <f>-SUMIFS(BV_Data_An_Cour!$P:$P,BV_Data_An_Cour!$U:$U,$B380,BV_Data_An_Cour!$V:$V,$C380,BV_Data_An_Cour!$W:$W,$L$2)</f>
        <v>0</v>
      </c>
      <c r="M380" s="278"/>
      <c r="N380" s="279"/>
      <c r="O380" s="278"/>
      <c r="P380" s="276"/>
      <c r="Q380" s="177" cm="1">
        <f t="array" ref="Q380">+SUMPRODUCT(('Réel 2024'!$A$8:$A$501=$A380)*('Réel 2024'!$C$3:$AO$3=Q$2),'Réel 2024'!$C$8:$AO$501)</f>
        <v>0</v>
      </c>
      <c r="R380" s="278"/>
      <c r="S380" s="200">
        <f t="shared" si="73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70"/>
        <v>BoutiqueInformatique</v>
      </c>
      <c r="B381" s="24" t="s">
        <v>183</v>
      </c>
      <c r="C381" s="267" t="s">
        <v>121</v>
      </c>
      <c r="D381" s="249"/>
      <c r="E381" s="178"/>
      <c r="F381" s="179" cm="1">
        <f t="array" ref="F381">+SUMPRODUCT(('Budget original'!$A$8:$A$501=$A381)*('Budget original'!$C$3:$AO$3=F$2),'Budget original'!$C$8:$AO$501)</f>
        <v>0</v>
      </c>
      <c r="G381" s="269"/>
      <c r="H381" s="178"/>
      <c r="I381" s="179"/>
      <c r="J381" s="223"/>
      <c r="K381" s="178"/>
      <c r="L381" s="180">
        <f>-SUMIFS(BV_Data_An_Cour!$P:$P,BV_Data_An_Cour!$U:$U,$B381,BV_Data_An_Cour!$V:$V,$C381,BV_Data_An_Cour!$W:$W,$L$2)</f>
        <v>0</v>
      </c>
      <c r="M381" s="223"/>
      <c r="N381" s="225"/>
      <c r="O381" s="223"/>
      <c r="P381" s="178"/>
      <c r="Q381" s="180" cm="1">
        <f t="array" ref="Q381">+SUMPRODUCT(('Réel 2024'!$A$8:$A$501=$A381)*('Réel 2024'!$C$3:$AO$3=Q$2),'Réel 2024'!$C$8:$AO$501)</f>
        <v>0</v>
      </c>
      <c r="R381" s="223"/>
      <c r="S381" s="197">
        <f t="shared" si="73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70"/>
        <v>BoutiqueFrais de déplacement</v>
      </c>
      <c r="B382" s="24" t="s">
        <v>183</v>
      </c>
      <c r="C382" s="267" t="s">
        <v>122</v>
      </c>
      <c r="D382" s="249"/>
      <c r="E382" s="178"/>
      <c r="F382" s="179" cm="1">
        <f t="array" ref="F382">+SUMPRODUCT(('Budget original'!$A$8:$A$501=$A382)*('Budget original'!$C$3:$AO$3=F$2),'Budget original'!$C$8:$AO$501)</f>
        <v>0</v>
      </c>
      <c r="G382" s="269"/>
      <c r="H382" s="178"/>
      <c r="I382" s="179"/>
      <c r="J382" s="223"/>
      <c r="K382" s="178"/>
      <c r="L382" s="180">
        <f>-SUMIFS(BV_Data_An_Cour!$P:$P,BV_Data_An_Cour!$U:$U,$B382,BV_Data_An_Cour!$V:$V,$C382,BV_Data_An_Cour!$W:$W,$L$2)</f>
        <v>0</v>
      </c>
      <c r="M382" s="223"/>
      <c r="N382" s="225"/>
      <c r="O382" s="223"/>
      <c r="P382" s="178"/>
      <c r="Q382" s="180" cm="1">
        <f t="array" ref="Q382">+SUMPRODUCT(('Réel 2024'!$A$8:$A$501=$A382)*('Réel 2024'!$C$3:$AO$3=Q$2),'Réel 2024'!$C$8:$AO$501)</f>
        <v>0</v>
      </c>
      <c r="R382" s="223"/>
      <c r="S382" s="197">
        <f t="shared" si="73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70"/>
        <v>BoutiqueServices extérieurs</v>
      </c>
      <c r="B383" s="24" t="s">
        <v>183</v>
      </c>
      <c r="C383" s="267" t="s">
        <v>123</v>
      </c>
      <c r="D383" s="275"/>
      <c r="E383" s="276"/>
      <c r="F383" s="177" cm="1">
        <f t="array" ref="F383">+SUMPRODUCT(('Budget original'!$A$8:$A$501=$A383)*('Budget original'!$C$3:$AO$3=F$2),'Budget original'!$C$8:$AO$501)</f>
        <v>0</v>
      </c>
      <c r="G383" s="277"/>
      <c r="H383" s="276"/>
      <c r="I383" s="177"/>
      <c r="J383" s="278"/>
      <c r="K383" s="276"/>
      <c r="L383" s="177">
        <f>-SUMIFS(BV_Data_An_Cour!$P:$P,BV_Data_An_Cour!$U:$U,$B383,BV_Data_An_Cour!$V:$V,$C383,BV_Data_An_Cour!$W:$W,$L$2)</f>
        <v>0</v>
      </c>
      <c r="M383" s="278"/>
      <c r="N383" s="279"/>
      <c r="O383" s="278"/>
      <c r="P383" s="276"/>
      <c r="Q383" s="177" cm="1">
        <f t="array" ref="Q383">+SUMPRODUCT(('Réel 2024'!$A$8:$A$501=$A383)*('Réel 2024'!$C$3:$AO$3=Q$2),'Réel 2024'!$C$8:$AO$501)</f>
        <v>0</v>
      </c>
      <c r="R383" s="278"/>
      <c r="S383" s="200">
        <f t="shared" si="73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70"/>
        <v>BoutiqueFournitures autres</v>
      </c>
      <c r="B384" s="24" t="s">
        <v>183</v>
      </c>
      <c r="C384" s="282" t="s">
        <v>124</v>
      </c>
      <c r="D384" s="249"/>
      <c r="E384" s="178"/>
      <c r="F384" s="179" cm="1">
        <f t="array" ref="F384">+SUMPRODUCT(('Budget original'!$A$8:$A$501=$A384)*('Budget original'!$C$3:$AO$3=F$2),'Budget original'!$C$8:$AO$501)</f>
        <v>0</v>
      </c>
      <c r="G384" s="269"/>
      <c r="H384" s="178"/>
      <c r="I384" s="179"/>
      <c r="J384" s="223"/>
      <c r="K384" s="178"/>
      <c r="L384" s="180">
        <f>-SUMIFS(BV_Data_An_Cour!$P:$P,BV_Data_An_Cour!$U:$U,$B384,BV_Data_An_Cour!$V:$V,$C384,BV_Data_An_Cour!$W:$W,$L$2)</f>
        <v>0</v>
      </c>
      <c r="M384" s="223"/>
      <c r="N384" s="225"/>
      <c r="O384" s="223"/>
      <c r="P384" s="178"/>
      <c r="Q384" s="180" cm="1">
        <f t="array" ref="Q384">+SUMPRODUCT(('Réel 2024'!$A$8:$A$501=$A384)*('Réel 2024'!$C$3:$AO$3=Q$2),'Réel 2024'!$C$8:$AO$501)</f>
        <v>0</v>
      </c>
      <c r="R384" s="223"/>
      <c r="S384" s="197">
        <f t="shared" si="73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70"/>
        <v>BoutiqueUniformes</v>
      </c>
      <c r="B385" s="24" t="s">
        <v>183</v>
      </c>
      <c r="C385" s="267" t="s">
        <v>125</v>
      </c>
      <c r="D385" s="249"/>
      <c r="E385" s="178"/>
      <c r="F385" s="179" cm="1">
        <f t="array" ref="F385">+SUMPRODUCT(('Budget original'!$A$8:$A$501=$A385)*('Budget original'!$C$3:$AO$3=F$2),'Budget original'!$C$8:$AO$501)</f>
        <v>0</v>
      </c>
      <c r="G385" s="269"/>
      <c r="H385" s="178"/>
      <c r="I385" s="179"/>
      <c r="J385" s="223"/>
      <c r="K385" s="178"/>
      <c r="L385" s="180">
        <f>-SUMIFS(BV_Data_An_Cour!$P:$P,BV_Data_An_Cour!$U:$U,$B385,BV_Data_An_Cour!$V:$V,$C385,BV_Data_An_Cour!$W:$W,$L$2)</f>
        <v>0</v>
      </c>
      <c r="M385" s="223"/>
      <c r="N385" s="225"/>
      <c r="O385" s="223"/>
      <c r="P385" s="178"/>
      <c r="Q385" s="180" cm="1">
        <f t="array" ref="Q385">+SUMPRODUCT(('Réel 2024'!$A$8:$A$501=$A385)*('Réel 2024'!$C$3:$AO$3=Q$2),'Réel 2024'!$C$8:$AO$501)</f>
        <v>0</v>
      </c>
      <c r="R385" s="223"/>
      <c r="S385" s="197">
        <f t="shared" si="73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70"/>
        <v>BoutiquePapeterie</v>
      </c>
      <c r="B386" s="24" t="s">
        <v>183</v>
      </c>
      <c r="C386" s="267" t="s">
        <v>126</v>
      </c>
      <c r="D386" s="249"/>
      <c r="E386" s="178"/>
      <c r="F386" s="179" cm="1">
        <f t="array" ref="F386">+SUMPRODUCT(('Budget original'!$A$8:$A$501=$A386)*('Budget original'!$C$3:$AO$3=F$2),'Budget original'!$C$8:$AO$501)</f>
        <v>0</v>
      </c>
      <c r="G386" s="269"/>
      <c r="H386" s="178"/>
      <c r="I386" s="179"/>
      <c r="J386" s="223"/>
      <c r="K386" s="178"/>
      <c r="L386" s="180">
        <f>-SUMIFS(BV_Data_An_Cour!$P:$P,BV_Data_An_Cour!$U:$U,$B386,BV_Data_An_Cour!$V:$V,$C386,BV_Data_An_Cour!$W:$W,$L$2)</f>
        <v>0</v>
      </c>
      <c r="M386" s="223"/>
      <c r="N386" s="225"/>
      <c r="O386" s="223"/>
      <c r="P386" s="178"/>
      <c r="Q386" s="180" cm="1">
        <f t="array" ref="Q386">+SUMPRODUCT(('Réel 2024'!$A$8:$A$501=$A386)*('Réel 2024'!$C$3:$AO$3=Q$2),'Réel 2024'!$C$8:$AO$501)</f>
        <v>0</v>
      </c>
      <c r="R386" s="223"/>
      <c r="S386" s="197">
        <f t="shared" si="73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70"/>
        <v>BoutiqueTéléphone</v>
      </c>
      <c r="B387" s="24" t="s">
        <v>183</v>
      </c>
      <c r="C387" s="267" t="s">
        <v>127</v>
      </c>
      <c r="D387" s="249"/>
      <c r="E387" s="178"/>
      <c r="F387" s="179" cm="1">
        <f t="array" ref="F387">+SUMPRODUCT(('Budget original'!$A$8:$A$501=$A387)*('Budget original'!$C$3:$AO$3=F$2),'Budget original'!$C$8:$AO$501)</f>
        <v>0</v>
      </c>
      <c r="G387" s="269"/>
      <c r="H387" s="178"/>
      <c r="I387" s="179"/>
      <c r="J387" s="223"/>
      <c r="K387" s="178"/>
      <c r="L387" s="180">
        <f>-SUMIFS(BV_Data_An_Cour!$P:$P,BV_Data_An_Cour!$U:$U,$B387,BV_Data_An_Cour!$V:$V,$C387,BV_Data_An_Cour!$W:$W,$L$2)</f>
        <v>0</v>
      </c>
      <c r="M387" s="223"/>
      <c r="N387" s="225"/>
      <c r="O387" s="223"/>
      <c r="P387" s="178"/>
      <c r="Q387" s="180" cm="1">
        <f t="array" ref="Q387">+SUMPRODUCT(('Réel 2024'!$A$8:$A$501=$A387)*('Réel 2024'!$C$3:$AO$3=Q$2),'Réel 2024'!$C$8:$AO$501)</f>
        <v>0</v>
      </c>
      <c r="R387" s="223"/>
      <c r="S387" s="197">
        <f t="shared" si="73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70"/>
        <v>BoutiqueFrais postaux</v>
      </c>
      <c r="B388" s="24" t="s">
        <v>183</v>
      </c>
      <c r="C388" s="267" t="s">
        <v>128</v>
      </c>
      <c r="D388" s="249"/>
      <c r="E388" s="178"/>
      <c r="F388" s="179" cm="1">
        <f t="array" ref="F388">+SUMPRODUCT(('Budget original'!$A$8:$A$501=$A388)*('Budget original'!$C$3:$AO$3=F$2),'Budget original'!$C$8:$AO$501)</f>
        <v>0</v>
      </c>
      <c r="G388" s="269"/>
      <c r="H388" s="178"/>
      <c r="I388" s="179"/>
      <c r="J388" s="223"/>
      <c r="K388" s="178"/>
      <c r="L388" s="180">
        <f>-SUMIFS(BV_Data_An_Cour!$P:$P,BV_Data_An_Cour!$U:$U,$B388,BV_Data_An_Cour!$V:$V,$C388,BV_Data_An_Cour!$W:$W,$L$2)</f>
        <v>0</v>
      </c>
      <c r="M388" s="223"/>
      <c r="N388" s="225"/>
      <c r="O388" s="223"/>
      <c r="P388" s="178"/>
      <c r="Q388" s="180" cm="1">
        <f t="array" ref="Q388">+SUMPRODUCT(('Réel 2024'!$A$8:$A$501=$A388)*('Réel 2024'!$C$3:$AO$3=Q$2),'Réel 2024'!$C$8:$AO$501)</f>
        <v>0</v>
      </c>
      <c r="R388" s="223"/>
      <c r="S388" s="197">
        <f t="shared" si="73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70"/>
        <v>BoutiqueDivers</v>
      </c>
      <c r="B389" s="24" t="s">
        <v>183</v>
      </c>
      <c r="C389" s="267" t="s">
        <v>129</v>
      </c>
      <c r="D389" s="249"/>
      <c r="E389" s="178"/>
      <c r="F389" s="179" cm="1">
        <f t="array" ref="F389">+SUMPRODUCT(('Budget original'!$A$8:$A$501=$A389)*('Budget original'!$C$3:$AO$3=F$2),'Budget original'!$C$8:$AO$501)</f>
        <v>0</v>
      </c>
      <c r="G389" s="269"/>
      <c r="H389" s="178"/>
      <c r="I389" s="179"/>
      <c r="J389" s="223"/>
      <c r="K389" s="178"/>
      <c r="L389" s="180">
        <f>-SUMIFS(BV_Data_An_Cour!$P:$P,BV_Data_An_Cour!$U:$U,$B389,BV_Data_An_Cour!$V:$V,$C389,BV_Data_An_Cour!$W:$W,$L$2)</f>
        <v>0</v>
      </c>
      <c r="M389" s="223"/>
      <c r="N389" s="225"/>
      <c r="O389" s="223"/>
      <c r="P389" s="178"/>
      <c r="Q389" s="180" cm="1">
        <f t="array" ref="Q389">+SUMPRODUCT(('Réel 2024'!$A$8:$A$501=$A389)*('Réel 2024'!$C$3:$AO$3=Q$2),'Réel 2024'!$C$8:$AO$501)</f>
        <v>0</v>
      </c>
      <c r="R389" s="223"/>
      <c r="S389" s="197">
        <f t="shared" si="73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70"/>
        <v>BoutiqueFormation</v>
      </c>
      <c r="B390" s="24" t="s">
        <v>183</v>
      </c>
      <c r="C390" s="267" t="s">
        <v>130</v>
      </c>
      <c r="D390" s="249"/>
      <c r="E390" s="178"/>
      <c r="F390" s="179" cm="1">
        <f t="array" ref="F390">+SUMPRODUCT(('Budget original'!$A$8:$A$501=$A390)*('Budget original'!$C$3:$AO$3=F$2),'Budget original'!$C$8:$AO$501)</f>
        <v>0</v>
      </c>
      <c r="G390" s="269"/>
      <c r="H390" s="178"/>
      <c r="I390" s="179"/>
      <c r="J390" s="223"/>
      <c r="K390" s="178"/>
      <c r="L390" s="180">
        <f>-SUMIFS(BV_Data_An_Cour!$P:$P,BV_Data_An_Cour!$U:$U,$B390,BV_Data_An_Cour!$V:$V,$C390,BV_Data_An_Cour!$W:$W,$L$2)</f>
        <v>0</v>
      </c>
      <c r="M390" s="223"/>
      <c r="N390" s="225"/>
      <c r="O390" s="223"/>
      <c r="P390" s="178"/>
      <c r="Q390" s="180" cm="1">
        <f t="array" ref="Q390">+SUMPRODUCT(('Réel 2024'!$A$8:$A$501=$A390)*('Réel 2024'!$C$3:$AO$3=Q$2),'Réel 2024'!$C$8:$AO$501)</f>
        <v>0</v>
      </c>
      <c r="R390" s="223"/>
      <c r="S390" s="197">
        <f t="shared" si="73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70"/>
        <v>BoutiqueFrais bancaires</v>
      </c>
      <c r="B391" s="24" t="s">
        <v>183</v>
      </c>
      <c r="C391" s="267" t="s">
        <v>131</v>
      </c>
      <c r="D391" s="249"/>
      <c r="E391" s="178"/>
      <c r="F391" s="179" cm="1">
        <f t="array" ref="F391">+SUMPRODUCT(('Budget original'!$A$8:$A$501=$A391)*('Budget original'!$C$3:$AO$3=F$2),'Budget original'!$C$8:$AO$501)</f>
        <v>0</v>
      </c>
      <c r="G391" s="269"/>
      <c r="H391" s="178"/>
      <c r="I391" s="179"/>
      <c r="J391" s="223"/>
      <c r="K391" s="178"/>
      <c r="L391" s="180">
        <f>-SUMIFS(BV_Data_An_Cour!$P:$P,BV_Data_An_Cour!$U:$U,$B391,BV_Data_An_Cour!$V:$V,$C391,BV_Data_An_Cour!$W:$W,$L$2)</f>
        <v>0</v>
      </c>
      <c r="M391" s="223"/>
      <c r="N391" s="225"/>
      <c r="O391" s="223"/>
      <c r="P391" s="178"/>
      <c r="Q391" s="180" cm="1">
        <f t="array" ref="Q391">+SUMPRODUCT(('Réel 2024'!$A$8:$A$501=$A391)*('Réel 2024'!$C$3:$AO$3=Q$2),'Réel 2024'!$C$8:$AO$501)</f>
        <v>0</v>
      </c>
      <c r="R391" s="223"/>
      <c r="S391" s="197">
        <f t="shared" si="73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70"/>
        <v>Boutique[...]</v>
      </c>
      <c r="B392" s="24" t="s">
        <v>183</v>
      </c>
      <c r="C392" s="267" t="s">
        <v>42</v>
      </c>
      <c r="D392" s="249"/>
      <c r="E392" s="178"/>
      <c r="F392" s="179" cm="1">
        <f t="array" ref="F392">+SUMPRODUCT(('Budget original'!$A$8:$A$501=$A392)*('Budget original'!$C$3:$AO$3=F$2),'Budget original'!$C$8:$AO$501)</f>
        <v>0</v>
      </c>
      <c r="G392" s="269"/>
      <c r="H392" s="178"/>
      <c r="I392" s="179"/>
      <c r="J392" s="223"/>
      <c r="K392" s="178"/>
      <c r="L392" s="180">
        <f>-SUMIFS(BV_Data_An_Cour!$P:$P,BV_Data_An_Cour!$U:$U,$B392,BV_Data_An_Cour!$V:$V,$C392,BV_Data_An_Cour!$W:$W,$L$2)</f>
        <v>0</v>
      </c>
      <c r="M392" s="223"/>
      <c r="N392" s="225"/>
      <c r="O392" s="223"/>
      <c r="P392" s="178"/>
      <c r="Q392" s="180" cm="1">
        <f t="array" ref="Q392">+SUMPRODUCT(('Réel 2024'!$A$8:$A$501=$A392)*('Réel 2024'!$C$3:$AO$3=Q$2),'Réel 2024'!$C$8:$AO$501)</f>
        <v>0</v>
      </c>
      <c r="R392" s="223"/>
      <c r="S392" s="197">
        <f t="shared" si="73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70"/>
        <v>Boutique[...]</v>
      </c>
      <c r="B393" s="24" t="s">
        <v>183</v>
      </c>
      <c r="C393" s="267" t="s">
        <v>42</v>
      </c>
      <c r="D393" s="249"/>
      <c r="E393" s="178"/>
      <c r="F393" s="179" cm="1">
        <f t="array" ref="F393">+SUMPRODUCT(('Budget original'!$A$8:$A$501=$A393)*('Budget original'!$C$3:$AO$3=F$2),'Budget original'!$C$8:$AO$501)</f>
        <v>0</v>
      </c>
      <c r="G393" s="269"/>
      <c r="H393" s="178"/>
      <c r="I393" s="179"/>
      <c r="J393" s="223"/>
      <c r="K393" s="178"/>
      <c r="L393" s="180">
        <f>-SUMIFS(BV_Data_An_Cour!$P:$P,BV_Data_An_Cour!$U:$U,$B393,BV_Data_An_Cour!$V:$V,$C393,BV_Data_An_Cour!$W:$W,$L$2)</f>
        <v>0</v>
      </c>
      <c r="M393" s="223"/>
      <c r="N393" s="225"/>
      <c r="O393" s="223"/>
      <c r="P393" s="178"/>
      <c r="Q393" s="180" cm="1">
        <f t="array" ref="Q393">+SUMPRODUCT(('Réel 2024'!$A$8:$A$501=$A393)*('Réel 2024'!$C$3:$AO$3=Q$2),'Réel 2024'!$C$8:$AO$501)</f>
        <v>0</v>
      </c>
      <c r="R393" s="223"/>
      <c r="S393" s="197">
        <f t="shared" si="73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70"/>
        <v>Boutique[...]</v>
      </c>
      <c r="B394" s="24" t="s">
        <v>183</v>
      </c>
      <c r="C394" s="267" t="s">
        <v>42</v>
      </c>
      <c r="D394" s="275"/>
      <c r="E394" s="276"/>
      <c r="F394" s="179" cm="1">
        <f t="array" ref="F394">+SUMPRODUCT(('Budget original'!$A$8:$A$501=$A394)*('Budget original'!$C$3:$AO$3=F$2),'Budget original'!$C$8:$AO$501)</f>
        <v>0</v>
      </c>
      <c r="G394" s="277"/>
      <c r="H394" s="276"/>
      <c r="I394" s="179"/>
      <c r="J394" s="278"/>
      <c r="K394" s="276"/>
      <c r="L394" s="180">
        <f>-SUMIFS(BV_Data_An_Cour!$P:$P,BV_Data_An_Cour!$U:$U,$B394,BV_Data_An_Cour!$V:$V,$C394,BV_Data_An_Cour!$W:$W,$L$2)</f>
        <v>0</v>
      </c>
      <c r="M394" s="278"/>
      <c r="N394" s="279"/>
      <c r="O394" s="278"/>
      <c r="P394" s="276"/>
      <c r="Q394" s="180" cm="1">
        <f t="array" ref="Q394">+SUMPRODUCT(('Réel 2024'!$A$8:$A$501=$A394)*('Réel 2024'!$C$3:$AO$3=Q$2),'Réel 2024'!$C$8:$AO$501)</f>
        <v>0</v>
      </c>
      <c r="R394" s="278"/>
      <c r="S394" s="200">
        <f t="shared" si="73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545274.26536814473</v>
      </c>
      <c r="G401" s="25"/>
      <c r="H401" s="25"/>
      <c r="I401" s="25"/>
      <c r="J401" s="25"/>
      <c r="K401" s="25"/>
      <c r="L401" s="37">
        <f>L353+L289+L233</f>
        <v>8081.4499999999898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2025 AAD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89" t="s">
        <v>186</v>
      </c>
      <c r="Y404" s="1286"/>
      <c r="Z404" s="1290"/>
      <c r="AA404" s="1285"/>
      <c r="AB404" s="1286"/>
      <c r="AC404" s="1290"/>
      <c r="AD404" s="1285" t="s">
        <v>78</v>
      </c>
      <c r="AE404" s="1286"/>
      <c r="AF404" s="1290"/>
      <c r="AG404" s="1285" t="s">
        <v>2442</v>
      </c>
      <c r="AH404" s="1286"/>
      <c r="AI404" s="1290"/>
      <c r="AJ404" s="1285" t="s">
        <v>2335</v>
      </c>
      <c r="AK404" s="1286"/>
      <c r="AL404" s="1286"/>
      <c r="AM404" s="1285" t="s">
        <v>187</v>
      </c>
      <c r="AN404" s="1286"/>
      <c r="AO404" s="1287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4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4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47591727.882352933</v>
      </c>
      <c r="AA406" s="388"/>
      <c r="AB406" s="388"/>
      <c r="AC406" s="389"/>
      <c r="AD406" s="390"/>
      <c r="AE406" s="391"/>
      <c r="AF406" s="391">
        <f>L5+L93+K194+K250+J314+J362</f>
        <v>1969870.3300000003</v>
      </c>
      <c r="AG406" s="390"/>
      <c r="AH406" s="391"/>
      <c r="AI406" s="392"/>
      <c r="AJ406" s="390"/>
      <c r="AK406" s="391"/>
      <c r="AL406" s="391">
        <f>Q5+Q93+P194+P250+O314+O362</f>
        <v>46633420.659999922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4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4548200.7754636509</v>
      </c>
      <c r="AA407" s="81"/>
      <c r="AB407" s="81"/>
      <c r="AC407" s="82"/>
      <c r="AD407" s="83"/>
      <c r="AE407" s="84"/>
      <c r="AF407" s="84">
        <f>L27+L108+L194+L250+L314+L362</f>
        <v>205893.28000000006</v>
      </c>
      <c r="AG407" s="83"/>
      <c r="AH407" s="84">
        <f>AF407-Z407</f>
        <v>-4342307.4954636507</v>
      </c>
      <c r="AI407" s="85">
        <f>AH407/Z407</f>
        <v>-0.95473082870247494</v>
      </c>
      <c r="AJ407" s="83">
        <f>+AL407/AL406</f>
        <v>9.7137396439920573E-2</v>
      </c>
      <c r="AK407" s="84"/>
      <c r="AL407" s="84">
        <f>Q27+Q108+Q194+Q250+Q314+Q362</f>
        <v>4529849.0699999947</v>
      </c>
      <c r="AM407" s="86"/>
      <c r="AN407" s="84">
        <f>AF407-AL407</f>
        <v>-4323955.7899999944</v>
      </c>
      <c r="AO407" s="396">
        <f>IF(AL407=0,0,AN407/AL407)</f>
        <v>-0.95454743042906709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4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4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75">Z409/(D$13+D$97)</f>
        <v>933.23593073593076</v>
      </c>
      <c r="Z409" s="87">
        <f t="shared" ref="Z409:Z418" si="76">+SUMIF($C:$C,$V409,F:F)</f>
        <v>431155</v>
      </c>
      <c r="AA409" s="398"/>
      <c r="AB409" s="404"/>
      <c r="AC409" s="87"/>
      <c r="AD409" s="405"/>
      <c r="AE409" s="404">
        <f t="shared" ref="AE409:AE414" si="77">IF(AF409=0,0,AF409/(J$13+J$97))</f>
        <v>1008.3376923076924</v>
      </c>
      <c r="AF409" s="87">
        <f t="shared" ref="AF409:AF418" si="78">+SUMIF($C:$C,$V409,L:L)</f>
        <v>13108.390000000001</v>
      </c>
      <c r="AG409" s="399">
        <f t="shared" ref="AG409:AG418" si="79">AE409-Y409</f>
        <v>75.101761571761585</v>
      </c>
      <c r="AH409" s="400">
        <f t="shared" ref="AH409:AH418" si="80">AF409-Z409</f>
        <v>-418046.61</v>
      </c>
      <c r="AI409" s="401">
        <f t="shared" ref="AI409:AI418" si="81">IF(Z409=0,0,AH409/Z409)</f>
        <v>-0.96959703586877111</v>
      </c>
      <c r="AJ409" s="405"/>
      <c r="AK409" s="400">
        <f t="shared" ref="AK409:AK418" si="82">AL409/(O$13+O$97)</f>
        <v>1099.4775644028105</v>
      </c>
      <c r="AL409" s="87">
        <f t="shared" ref="AL409:AL418" si="83">+SUMIF($C:$C,$V409,Q:Q)</f>
        <v>469476.92000000004</v>
      </c>
      <c r="AM409" s="402">
        <f t="shared" ref="AM409:AM414" si="84">AE409-Y409</f>
        <v>75.101761571761585</v>
      </c>
      <c r="AN409" s="400">
        <f t="shared" ref="AN409:AN431" si="85">AF409-AL409</f>
        <v>-456368.53</v>
      </c>
      <c r="AO409" s="212">
        <f t="shared" ref="AO409:AO419" si="86">IF(AL409=0,0,AN409/AL409)</f>
        <v>-0.97207873392370381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4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75"/>
        <v>462.14880952380952</v>
      </c>
      <c r="Z410" s="389">
        <f t="shared" si="76"/>
        <v>213512.75</v>
      </c>
      <c r="AA410" s="388"/>
      <c r="AB410" s="407"/>
      <c r="AC410" s="389"/>
      <c r="AD410" s="408"/>
      <c r="AE410" s="407">
        <f t="shared" si="77"/>
        <v>767.98384615384623</v>
      </c>
      <c r="AF410" s="389">
        <f t="shared" si="78"/>
        <v>9983.7900000000009</v>
      </c>
      <c r="AG410" s="390">
        <f t="shared" si="79"/>
        <v>305.83503663003671</v>
      </c>
      <c r="AH410" s="391">
        <f t="shared" si="80"/>
        <v>-203528.95999999999</v>
      </c>
      <c r="AI410" s="409">
        <f t="shared" si="81"/>
        <v>-0.95324031000490594</v>
      </c>
      <c r="AJ410" s="408"/>
      <c r="AK410" s="391">
        <f t="shared" si="82"/>
        <v>591.17866510538636</v>
      </c>
      <c r="AL410" s="389">
        <f t="shared" si="83"/>
        <v>252433.28999999998</v>
      </c>
      <c r="AM410" s="393">
        <f t="shared" si="84"/>
        <v>305.83503663003671</v>
      </c>
      <c r="AN410" s="391">
        <f t="shared" si="85"/>
        <v>-242449.49999999997</v>
      </c>
      <c r="AO410" s="213">
        <f t="shared" si="86"/>
        <v>-0.96044978853621088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4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75"/>
        <v>120.36796536796537</v>
      </c>
      <c r="Z411" s="87">
        <f t="shared" si="76"/>
        <v>55610</v>
      </c>
      <c r="AA411" s="398"/>
      <c r="AB411" s="404"/>
      <c r="AC411" s="87"/>
      <c r="AD411" s="405"/>
      <c r="AE411" s="404">
        <f t="shared" si="77"/>
        <v>36.558461538461536</v>
      </c>
      <c r="AF411" s="87">
        <f t="shared" si="78"/>
        <v>475.26</v>
      </c>
      <c r="AG411" s="399">
        <f t="shared" si="79"/>
        <v>-83.809503829503825</v>
      </c>
      <c r="AH411" s="400">
        <f t="shared" si="80"/>
        <v>-55134.74</v>
      </c>
      <c r="AI411" s="401">
        <f t="shared" si="81"/>
        <v>-0.99145369537852901</v>
      </c>
      <c r="AJ411" s="405"/>
      <c r="AK411" s="400">
        <f t="shared" si="82"/>
        <v>116.8015925058548</v>
      </c>
      <c r="AL411" s="87">
        <f t="shared" si="83"/>
        <v>49874.28</v>
      </c>
      <c r="AM411" s="402">
        <f t="shared" si="84"/>
        <v>-83.809503829503825</v>
      </c>
      <c r="AN411" s="400">
        <f t="shared" si="85"/>
        <v>-49399.02</v>
      </c>
      <c r="AO411" s="212">
        <f t="shared" si="86"/>
        <v>-0.99047083987979367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4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200</v>
      </c>
      <c r="X412" s="398"/>
      <c r="Y412" s="404">
        <f t="shared" si="75"/>
        <v>67.562770562770567</v>
      </c>
      <c r="Z412" s="87">
        <f t="shared" si="76"/>
        <v>31214</v>
      </c>
      <c r="AA412" s="398"/>
      <c r="AB412" s="404"/>
      <c r="AC412" s="87"/>
      <c r="AD412" s="405"/>
      <c r="AE412" s="404">
        <f t="shared" si="77"/>
        <v>14.76923076923077</v>
      </c>
      <c r="AF412" s="87">
        <f t="shared" si="78"/>
        <v>192</v>
      </c>
      <c r="AG412" s="399">
        <f t="shared" si="79"/>
        <v>-52.793539793539793</v>
      </c>
      <c r="AH412" s="400">
        <f t="shared" si="80"/>
        <v>-31022</v>
      </c>
      <c r="AI412" s="401">
        <f t="shared" si="81"/>
        <v>-0.99384891394886909</v>
      </c>
      <c r="AJ412" s="405"/>
      <c r="AK412" s="400">
        <f t="shared" si="82"/>
        <v>73.11545667447308</v>
      </c>
      <c r="AL412" s="87">
        <f t="shared" si="83"/>
        <v>31220.300000000003</v>
      </c>
      <c r="AM412" s="402">
        <f t="shared" si="84"/>
        <v>-52.793539793539793</v>
      </c>
      <c r="AN412" s="400">
        <f t="shared" si="85"/>
        <v>-31028.300000000003</v>
      </c>
      <c r="AO412" s="214">
        <f t="shared" si="86"/>
        <v>-0.9938501551874902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4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75"/>
        <v>85.303030303030297</v>
      </c>
      <c r="Z413" s="389">
        <f t="shared" si="76"/>
        <v>39410</v>
      </c>
      <c r="AA413" s="388"/>
      <c r="AB413" s="407"/>
      <c r="AC413" s="389"/>
      <c r="AD413" s="408"/>
      <c r="AE413" s="407">
        <f t="shared" si="77"/>
        <v>375.78384615384613</v>
      </c>
      <c r="AF413" s="389">
        <f t="shared" si="78"/>
        <v>4885.1899999999996</v>
      </c>
      <c r="AG413" s="390">
        <f t="shared" si="79"/>
        <v>290.48081585081582</v>
      </c>
      <c r="AH413" s="391">
        <f t="shared" si="80"/>
        <v>-34524.81</v>
      </c>
      <c r="AI413" s="409">
        <f t="shared" si="81"/>
        <v>-0.87604186754630797</v>
      </c>
      <c r="AJ413" s="408"/>
      <c r="AK413" s="391">
        <f t="shared" si="82"/>
        <v>90.469906323185</v>
      </c>
      <c r="AL413" s="389">
        <f t="shared" si="83"/>
        <v>38630.649999999994</v>
      </c>
      <c r="AM413" s="393">
        <f t="shared" si="84"/>
        <v>290.48081585081582</v>
      </c>
      <c r="AN413" s="391">
        <f t="shared" si="85"/>
        <v>-33745.459999999992</v>
      </c>
      <c r="AO413" s="213">
        <f t="shared" si="86"/>
        <v>-0.87354108719371781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4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201</v>
      </c>
      <c r="X414" s="401"/>
      <c r="Y414" s="404">
        <f t="shared" si="75"/>
        <v>477.9220779220779</v>
      </c>
      <c r="Z414" s="87">
        <f t="shared" si="76"/>
        <v>220800</v>
      </c>
      <c r="AA414" s="401"/>
      <c r="AB414" s="404"/>
      <c r="AC414" s="87"/>
      <c r="AD414" s="405"/>
      <c r="AE414" s="404">
        <f t="shared" si="77"/>
        <v>803.926923076923</v>
      </c>
      <c r="AF414" s="87">
        <f t="shared" si="78"/>
        <v>10451.049999999999</v>
      </c>
      <c r="AG414" s="399">
        <f t="shared" si="79"/>
        <v>326.0048451548451</v>
      </c>
      <c r="AH414" s="400">
        <f t="shared" si="80"/>
        <v>-210348.95</v>
      </c>
      <c r="AI414" s="401">
        <f t="shared" si="81"/>
        <v>-0.95266734601449277</v>
      </c>
      <c r="AJ414" s="405"/>
      <c r="AK414" s="400">
        <f t="shared" si="82"/>
        <v>580.55817330210743</v>
      </c>
      <c r="AL414" s="87">
        <f t="shared" si="83"/>
        <v>247898.33999999985</v>
      </c>
      <c r="AM414" s="402">
        <f t="shared" si="84"/>
        <v>326.0048451548451</v>
      </c>
      <c r="AN414" s="400">
        <f t="shared" si="85"/>
        <v>-237447.28999999986</v>
      </c>
      <c r="AO414" s="212">
        <f t="shared" si="86"/>
        <v>-0.95784138772369354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4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202</v>
      </c>
      <c r="X415" s="398"/>
      <c r="Y415" s="404">
        <f t="shared" si="75"/>
        <v>822.99886598307319</v>
      </c>
      <c r="Z415" s="87">
        <f t="shared" si="76"/>
        <v>380225.47608417983</v>
      </c>
      <c r="AA415" s="398"/>
      <c r="AB415" s="404"/>
      <c r="AC415" s="87"/>
      <c r="AD415" s="405"/>
      <c r="AE415" s="404">
        <f>IF(AF415=0,0,AF415/(J$13+J$13))</f>
        <v>1534.3243749999999</v>
      </c>
      <c r="AF415" s="87">
        <f t="shared" si="78"/>
        <v>24549.19</v>
      </c>
      <c r="AG415" s="399">
        <f t="shared" si="79"/>
        <v>711.32550901692673</v>
      </c>
      <c r="AH415" s="400">
        <f t="shared" si="80"/>
        <v>-355676.28608417982</v>
      </c>
      <c r="AI415" s="401">
        <f t="shared" si="81"/>
        <v>-0.93543517848192548</v>
      </c>
      <c r="AJ415" s="405"/>
      <c r="AK415" s="400">
        <f t="shared" si="82"/>
        <v>1050.7263466042155</v>
      </c>
      <c r="AL415" s="87">
        <f t="shared" si="83"/>
        <v>448660.14999999997</v>
      </c>
      <c r="AM415" s="402">
        <f>AE415-Y415</f>
        <v>711.32550901692673</v>
      </c>
      <c r="AN415" s="400">
        <f>AF415-AL415</f>
        <v>-424110.95999999996</v>
      </c>
      <c r="AO415" s="212">
        <f t="shared" si="86"/>
        <v>-0.94528332859515163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4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75"/>
        <v>0</v>
      </c>
      <c r="Z416" s="87">
        <f t="shared" si="76"/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 t="shared" si="78"/>
        <v>0</v>
      </c>
      <c r="AG416" s="399">
        <f t="shared" si="79"/>
        <v>0</v>
      </c>
      <c r="AH416" s="400">
        <f t="shared" si="80"/>
        <v>0</v>
      </c>
      <c r="AI416" s="401">
        <f t="shared" si="81"/>
        <v>0</v>
      </c>
      <c r="AJ416" s="405"/>
      <c r="AK416" s="400">
        <f t="shared" si="82"/>
        <v>0</v>
      </c>
      <c r="AL416" s="87">
        <f t="shared" si="83"/>
        <v>0</v>
      </c>
      <c r="AM416" s="402">
        <f>AE416-Y416</f>
        <v>0</v>
      </c>
      <c r="AN416" s="400">
        <f>AF416-AL416</f>
        <v>0</v>
      </c>
      <c r="AO416" s="212">
        <f t="shared" si="86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75"/>
        <v>0</v>
      </c>
      <c r="Z417" s="87">
        <f t="shared" si="76"/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 t="shared" si="78"/>
        <v>0</v>
      </c>
      <c r="AG417" s="399">
        <f t="shared" si="79"/>
        <v>0</v>
      </c>
      <c r="AH417" s="400">
        <f t="shared" si="80"/>
        <v>0</v>
      </c>
      <c r="AI417" s="401">
        <f t="shared" si="81"/>
        <v>0</v>
      </c>
      <c r="AJ417" s="405"/>
      <c r="AK417" s="400">
        <f t="shared" si="82"/>
        <v>0</v>
      </c>
      <c r="AL417" s="87">
        <f t="shared" si="83"/>
        <v>0</v>
      </c>
      <c r="AM417" s="402">
        <f>AE417-Y417</f>
        <v>0</v>
      </c>
      <c r="AN417" s="400">
        <f>AF417-AL417</f>
        <v>0</v>
      </c>
      <c r="AO417" s="212">
        <f t="shared" si="86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75"/>
        <v>0</v>
      </c>
      <c r="Z418" s="87">
        <f t="shared" si="76"/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 t="shared" si="78"/>
        <v>0</v>
      </c>
      <c r="AG418" s="399">
        <f t="shared" si="79"/>
        <v>0</v>
      </c>
      <c r="AH418" s="400">
        <f t="shared" si="80"/>
        <v>0</v>
      </c>
      <c r="AI418" s="401">
        <f t="shared" si="81"/>
        <v>0</v>
      </c>
      <c r="AJ418" s="405"/>
      <c r="AK418" s="400">
        <f t="shared" si="82"/>
        <v>0</v>
      </c>
      <c r="AL418" s="87">
        <f t="shared" si="83"/>
        <v>0</v>
      </c>
      <c r="AM418" s="402">
        <f>AE418-Y418</f>
        <v>0</v>
      </c>
      <c r="AN418" s="400">
        <f>AF418-AL418</f>
        <v>0</v>
      </c>
      <c r="AO418" s="212">
        <f t="shared" si="86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4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0.30164174666284893</v>
      </c>
      <c r="Y419" s="88"/>
      <c r="Z419" s="90">
        <f>SUM(Z409:Z418)</f>
        <v>1371927.2260841797</v>
      </c>
      <c r="AA419" s="89"/>
      <c r="AB419" s="88"/>
      <c r="AC419" s="90"/>
      <c r="AD419" s="91">
        <f>AF419/AF407</f>
        <v>0.30911581961295664</v>
      </c>
      <c r="AE419" s="88"/>
      <c r="AF419" s="90">
        <f>SUM(AF409:AF418)</f>
        <v>63644.869999999995</v>
      </c>
      <c r="AG419" s="92"/>
      <c r="AH419" s="93">
        <f t="shared" ref="AH419:AH451" si="87">AF419-Z419</f>
        <v>-1308282.3560841796</v>
      </c>
      <c r="AI419" s="89">
        <f>AH419/Z419</f>
        <v>-0.95360915011384506</v>
      </c>
      <c r="AJ419" s="91">
        <f>IF($AL$407=0,0,AL419/$AL$407)</f>
        <v>0.33956847264229084</v>
      </c>
      <c r="AK419" s="88"/>
      <c r="AL419" s="90">
        <f>SUM(AL409:AL418)</f>
        <v>1538193.9299999997</v>
      </c>
      <c r="AM419" s="94"/>
      <c r="AN419" s="93">
        <f t="shared" si="85"/>
        <v>-1474549.0599999996</v>
      </c>
      <c r="AO419" s="396">
        <f t="shared" si="86"/>
        <v>-0.95862363726789634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4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204</v>
      </c>
      <c r="X420" s="398"/>
      <c r="Y420" s="398"/>
      <c r="Z420" s="87" cm="1">
        <f t="array" ref="Z420">+SUMPRODUCT(('Budget original'!$A$8:$A$501=$A420)*('Budget original'!$C$3:$AO$3=Z$2),'Budget original'!$C$8:$AO$501)</f>
        <v>169988.01538461537</v>
      </c>
      <c r="AA420" s="398"/>
      <c r="AB420" s="398"/>
      <c r="AC420" s="87"/>
      <c r="AD420" s="405"/>
      <c r="AE420" s="404"/>
      <c r="AF420" s="87">
        <f>SUMIFS(BV_Data_An_Cour!$P:$P,BV_Data_An_Cour!$V:$V,$V420)</f>
        <v>14479.21</v>
      </c>
      <c r="AG420" s="399"/>
      <c r="AH420" s="400">
        <f t="shared" si="87"/>
        <v>-155508.80538461538</v>
      </c>
      <c r="AI420" s="401">
        <f t="shared" ref="AI420:AI432" si="88">IF(Z420=0,0,AH420/Z420)</f>
        <v>-0.91482217162639801</v>
      </c>
      <c r="AJ420" s="405"/>
      <c r="AK420" s="398"/>
      <c r="AL420" s="87" cm="1">
        <f t="array" ref="AL420">+SUMPRODUCT(('Réel 2024'!$A$8:$A$501=$A420)*('Réel 2024'!$C$3:$AO$3=Z$2),'Réel 2024'!$C$8:$AO$501)</f>
        <v>163569.72999999989</v>
      </c>
      <c r="AM420" s="402"/>
      <c r="AN420" s="400">
        <f t="shared" si="85"/>
        <v>-149090.5199999999</v>
      </c>
      <c r="AO420" s="212">
        <f t="shared" ref="AO420:AO431" si="89">IF(AL420=0,0,AN420/AL420)</f>
        <v>-0.91147989300954402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4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205</v>
      </c>
      <c r="X421" s="398"/>
      <c r="Y421" s="398"/>
      <c r="Z421" s="87">
        <f t="shared" ref="Z421:Z432" si="90">+SUMIF($C:$C,$V421,F:F)</f>
        <v>385853.5384615385</v>
      </c>
      <c r="AA421" s="398"/>
      <c r="AB421" s="398"/>
      <c r="AC421" s="87"/>
      <c r="AD421" s="405"/>
      <c r="AE421" s="404"/>
      <c r="AF421" s="87">
        <f t="shared" ref="AF421:AF432" si="91">+SUMIF($C:$C,$V421,L:L)</f>
        <v>30376.240000000002</v>
      </c>
      <c r="AG421" s="399"/>
      <c r="AH421" s="400">
        <f t="shared" si="87"/>
        <v>-355477.29846153851</v>
      </c>
      <c r="AI421" s="401">
        <f t="shared" si="88"/>
        <v>-0.92127520685409536</v>
      </c>
      <c r="AJ421" s="405"/>
      <c r="AK421" s="398"/>
      <c r="AL421" s="87">
        <f t="shared" ref="AL421:AL432" si="92">+SUMIF($C:$C,$V421,Q:Q)</f>
        <v>343977.00999999995</v>
      </c>
      <c r="AM421" s="402"/>
      <c r="AN421" s="400">
        <f t="shared" si="85"/>
        <v>-313600.76999999996</v>
      </c>
      <c r="AO421" s="212">
        <f t="shared" si="89"/>
        <v>-0.91169107493550228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4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90"/>
        <v>250925</v>
      </c>
      <c r="AA422" s="388"/>
      <c r="AB422" s="388"/>
      <c r="AC422" s="389"/>
      <c r="AD422" s="408"/>
      <c r="AE422" s="407"/>
      <c r="AF422" s="389">
        <f t="shared" si="91"/>
        <v>14076.32</v>
      </c>
      <c r="AG422" s="390"/>
      <c r="AH422" s="391">
        <f t="shared" si="87"/>
        <v>-236848.68</v>
      </c>
      <c r="AI422" s="409">
        <f t="shared" si="88"/>
        <v>-0.94390228155823452</v>
      </c>
      <c r="AJ422" s="408"/>
      <c r="AK422" s="388"/>
      <c r="AL422" s="389">
        <f t="shared" si="92"/>
        <v>240350.95</v>
      </c>
      <c r="AM422" s="393"/>
      <c r="AN422" s="391">
        <f t="shared" si="85"/>
        <v>-226274.63</v>
      </c>
      <c r="AO422" s="394">
        <f t="shared" si="89"/>
        <v>-0.94143430679179751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4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90"/>
        <v>277862.44</v>
      </c>
      <c r="AA423" s="398"/>
      <c r="AB423" s="398"/>
      <c r="AC423" s="87"/>
      <c r="AD423" s="405"/>
      <c r="AE423" s="404"/>
      <c r="AF423" s="87">
        <f t="shared" si="91"/>
        <v>19422.71</v>
      </c>
      <c r="AG423" s="399"/>
      <c r="AH423" s="400">
        <f t="shared" si="87"/>
        <v>-258439.73</v>
      </c>
      <c r="AI423" s="401">
        <f t="shared" si="88"/>
        <v>-0.93009954853919807</v>
      </c>
      <c r="AJ423" s="405"/>
      <c r="AK423" s="398"/>
      <c r="AL423" s="87">
        <f t="shared" si="92"/>
        <v>259918.56999999995</v>
      </c>
      <c r="AM423" s="402"/>
      <c r="AN423" s="400">
        <f t="shared" si="85"/>
        <v>-240495.85999999996</v>
      </c>
      <c r="AO423" s="212">
        <f t="shared" si="89"/>
        <v>-0.92527386558028546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4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208</v>
      </c>
      <c r="X424" s="398"/>
      <c r="Y424" s="398"/>
      <c r="Z424" s="87">
        <f t="shared" si="90"/>
        <v>172166.052</v>
      </c>
      <c r="AA424" s="398"/>
      <c r="AB424" s="398"/>
      <c r="AC424" s="87"/>
      <c r="AD424" s="405"/>
      <c r="AE424" s="404"/>
      <c r="AF424" s="87">
        <f t="shared" si="91"/>
        <v>12308.67</v>
      </c>
      <c r="AG424" s="399"/>
      <c r="AH424" s="400">
        <f t="shared" si="87"/>
        <v>-159857.38199999998</v>
      </c>
      <c r="AI424" s="401">
        <f t="shared" si="88"/>
        <v>-0.92850698580228808</v>
      </c>
      <c r="AJ424" s="405"/>
      <c r="AK424" s="398"/>
      <c r="AL424" s="87">
        <f t="shared" si="92"/>
        <v>145388.35999999999</v>
      </c>
      <c r="AM424" s="402"/>
      <c r="AN424" s="400">
        <f t="shared" si="85"/>
        <v>-133079.68999999997</v>
      </c>
      <c r="AO424" s="212">
        <f t="shared" si="89"/>
        <v>-0.91533937104731067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4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90"/>
        <v>0</v>
      </c>
      <c r="AA425" s="398"/>
      <c r="AB425" s="398"/>
      <c r="AC425" s="400"/>
      <c r="AD425" s="405"/>
      <c r="AE425" s="404"/>
      <c r="AF425" s="87">
        <f t="shared" si="91"/>
        <v>0</v>
      </c>
      <c r="AG425" s="399"/>
      <c r="AH425" s="400">
        <f t="shared" si="87"/>
        <v>0</v>
      </c>
      <c r="AI425" s="401">
        <f t="shared" si="88"/>
        <v>0</v>
      </c>
      <c r="AJ425" s="405"/>
      <c r="AK425" s="398"/>
      <c r="AL425" s="87">
        <f t="shared" si="92"/>
        <v>0</v>
      </c>
      <c r="AM425" s="402"/>
      <c r="AN425" s="400">
        <f>AF425-AL425</f>
        <v>0</v>
      </c>
      <c r="AO425" s="212">
        <f>IF(AL425=0,0,AN425/AL425)</f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90"/>
        <v>0</v>
      </c>
      <c r="AA426" s="398"/>
      <c r="AB426" s="398"/>
      <c r="AC426" s="400"/>
      <c r="AD426" s="405"/>
      <c r="AE426" s="404"/>
      <c r="AF426" s="87">
        <f t="shared" si="91"/>
        <v>0</v>
      </c>
      <c r="AG426" s="399"/>
      <c r="AH426" s="400">
        <f t="shared" si="87"/>
        <v>0</v>
      </c>
      <c r="AI426" s="401">
        <f t="shared" si="88"/>
        <v>0</v>
      </c>
      <c r="AJ426" s="405"/>
      <c r="AK426" s="398"/>
      <c r="AL426" s="87">
        <f t="shared" si="92"/>
        <v>0</v>
      </c>
      <c r="AM426" s="402"/>
      <c r="AN426" s="400">
        <f>AF426-AL426</f>
        <v>0</v>
      </c>
      <c r="AO426" s="212">
        <f>IF(AL426=0,0,AN426/AL426)</f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90"/>
        <v>0</v>
      </c>
      <c r="AA427" s="398"/>
      <c r="AB427" s="398"/>
      <c r="AC427" s="400"/>
      <c r="AD427" s="405"/>
      <c r="AE427" s="404"/>
      <c r="AF427" s="87">
        <f t="shared" si="91"/>
        <v>0</v>
      </c>
      <c r="AG427" s="399"/>
      <c r="AH427" s="400">
        <f t="shared" si="87"/>
        <v>0</v>
      </c>
      <c r="AI427" s="401">
        <f t="shared" si="88"/>
        <v>0</v>
      </c>
      <c r="AJ427" s="405"/>
      <c r="AK427" s="398"/>
      <c r="AL427" s="87">
        <f t="shared" si="92"/>
        <v>0</v>
      </c>
      <c r="AM427" s="402"/>
      <c r="AN427" s="400">
        <f>AF427-AL427</f>
        <v>0</v>
      </c>
      <c r="AO427" s="212">
        <f>IF(AL427=0,0,AN427/AL427)</f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4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90"/>
        <v>285224.90616475989</v>
      </c>
      <c r="AA428" s="388"/>
      <c r="AB428" s="388"/>
      <c r="AC428" s="389"/>
      <c r="AD428" s="408"/>
      <c r="AE428" s="407"/>
      <c r="AF428" s="389">
        <f t="shared" si="91"/>
        <v>13528.34</v>
      </c>
      <c r="AG428" s="390"/>
      <c r="AH428" s="391">
        <f t="shared" si="87"/>
        <v>-271696.56616475986</v>
      </c>
      <c r="AI428" s="409">
        <f t="shared" si="88"/>
        <v>-0.95256956981104102</v>
      </c>
      <c r="AJ428" s="408"/>
      <c r="AK428" s="388"/>
      <c r="AL428" s="389">
        <f t="shared" si="92"/>
        <v>274069.66999999993</v>
      </c>
      <c r="AM428" s="393"/>
      <c r="AN428" s="391">
        <f t="shared" si="85"/>
        <v>-260541.32999999993</v>
      </c>
      <c r="AO428" s="213">
        <f t="shared" si="89"/>
        <v>-0.95063904736339488</v>
      </c>
      <c r="AP428" s="712"/>
      <c r="AQ428" s="1103">
        <f>AF428/($AF$420+$AF$421+$AF$422+$AF$423+$AF$424+$AF$409+$AF$410+$K$185-$L$185)</f>
        <v>9.3755037439393077E-2</v>
      </c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4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90"/>
        <v>329483.94336714316</v>
      </c>
      <c r="AA429" s="398"/>
      <c r="AB429" s="398"/>
      <c r="AC429" s="87"/>
      <c r="AD429" s="405"/>
      <c r="AE429" s="404"/>
      <c r="AF429" s="87">
        <f t="shared" si="91"/>
        <v>24123.63</v>
      </c>
      <c r="AG429" s="399"/>
      <c r="AH429" s="400">
        <f t="shared" si="87"/>
        <v>-305360.31336714316</v>
      </c>
      <c r="AI429" s="401">
        <f t="shared" si="88"/>
        <v>-0.92678359451003933</v>
      </c>
      <c r="AJ429" s="405"/>
      <c r="AK429" s="398"/>
      <c r="AL429" s="87">
        <f t="shared" si="92"/>
        <v>306868.37000000005</v>
      </c>
      <c r="AM429" s="402"/>
      <c r="AN429" s="400">
        <f t="shared" si="85"/>
        <v>-282744.74000000005</v>
      </c>
      <c r="AO429" s="212">
        <f t="shared" si="89"/>
        <v>-0.92138769466530557</v>
      </c>
      <c r="AP429" s="712"/>
      <c r="AQ429" s="711">
        <f>AF429/($AF$420+$AF$421+$AF$422+$AF$423+$AF$424+$AF$409+$AF$410+$K$185-$L$185)</f>
        <v>0.1671832489295853</v>
      </c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4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211</v>
      </c>
      <c r="X430" s="398"/>
      <c r="Y430" s="398"/>
      <c r="Z430" s="87">
        <f t="shared" si="90"/>
        <v>172118.47787583078</v>
      </c>
      <c r="AA430" s="398"/>
      <c r="AB430" s="398"/>
      <c r="AC430" s="87"/>
      <c r="AD430" s="405"/>
      <c r="AE430" s="404"/>
      <c r="AF430" s="87">
        <f t="shared" si="91"/>
        <v>12446.010000000002</v>
      </c>
      <c r="AG430" s="399"/>
      <c r="AH430" s="400">
        <f t="shared" si="87"/>
        <v>-159672.46787583077</v>
      </c>
      <c r="AI430" s="401">
        <f t="shared" si="88"/>
        <v>-0.92768928616148483</v>
      </c>
      <c r="AJ430" s="405"/>
      <c r="AK430" s="398"/>
      <c r="AL430" s="87">
        <f t="shared" si="92"/>
        <v>151746.06</v>
      </c>
      <c r="AM430" s="402"/>
      <c r="AN430" s="400">
        <f t="shared" si="85"/>
        <v>-139300.04999999999</v>
      </c>
      <c r="AO430" s="212">
        <f t="shared" si="89"/>
        <v>-0.91798133012481509</v>
      </c>
      <c r="AP430" s="712"/>
      <c r="AQ430" s="711">
        <f>AF430/($AF$420+$AF$421+$AF$422+$AF$423+$AF$424+$AF$409+$AF$410+$K$185-$L$185)</f>
        <v>8.6254199223338629E-2</v>
      </c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4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/>
      <c r="X431" s="398"/>
      <c r="Y431" s="398"/>
      <c r="Z431" s="87">
        <f t="shared" si="90"/>
        <v>36882.530973392306</v>
      </c>
      <c r="AA431" s="398"/>
      <c r="AB431" s="398"/>
      <c r="AC431" s="87"/>
      <c r="AD431" s="405"/>
      <c r="AE431" s="404"/>
      <c r="AF431" s="87">
        <f t="shared" si="91"/>
        <v>5350</v>
      </c>
      <c r="AG431" s="399"/>
      <c r="AH431" s="400">
        <f t="shared" si="87"/>
        <v>-31532.530973392306</v>
      </c>
      <c r="AI431" s="97">
        <f t="shared" si="88"/>
        <v>-0.85494487881377823</v>
      </c>
      <c r="AJ431" s="405"/>
      <c r="AK431" s="398"/>
      <c r="AL431" s="87">
        <f t="shared" si="92"/>
        <v>30462.840000000004</v>
      </c>
      <c r="AM431" s="402"/>
      <c r="AN431" s="400">
        <f t="shared" si="85"/>
        <v>-25112.840000000004</v>
      </c>
      <c r="AO431" s="213">
        <f t="shared" si="89"/>
        <v>-0.82437619079508018</v>
      </c>
      <c r="AP431" s="712"/>
      <c r="AQ431" s="711">
        <f>AF431/($AF$420+$AF$421+$AF$422+$AF$423+$AF$424+$AF$409+$AF$410+$K$185-$L$185)</f>
        <v>3.7076939986779821E-2</v>
      </c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4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 t="shared" si="90"/>
        <v>0</v>
      </c>
      <c r="AA432" s="398"/>
      <c r="AB432" s="398"/>
      <c r="AC432" s="400"/>
      <c r="AD432" s="405"/>
      <c r="AE432" s="404"/>
      <c r="AF432" s="87">
        <f t="shared" si="91"/>
        <v>0</v>
      </c>
      <c r="AG432" s="399"/>
      <c r="AH432" s="400">
        <f t="shared" si="87"/>
        <v>0</v>
      </c>
      <c r="AI432" s="401">
        <f t="shared" si="88"/>
        <v>0</v>
      </c>
      <c r="AJ432" s="405"/>
      <c r="AK432" s="398"/>
      <c r="AL432" s="87">
        <f t="shared" si="92"/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4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0.457434710325687</v>
      </c>
      <c r="Y433" s="88"/>
      <c r="Z433" s="90">
        <f>SUM(Z420:Z432)</f>
        <v>2080504.9042272801</v>
      </c>
      <c r="AA433" s="89"/>
      <c r="AB433" s="88"/>
      <c r="AC433" s="90"/>
      <c r="AD433" s="91">
        <f>AF433/AF407</f>
        <v>0.7096449675288089</v>
      </c>
      <c r="AE433" s="98"/>
      <c r="AF433" s="90">
        <f>SUM(AF420:AF432)</f>
        <v>146111.13</v>
      </c>
      <c r="AG433" s="99"/>
      <c r="AH433" s="93">
        <f t="shared" si="87"/>
        <v>-1934393.7742272802</v>
      </c>
      <c r="AI433" s="89">
        <f>AH433/Z433</f>
        <v>-0.9297713119045653</v>
      </c>
      <c r="AJ433" s="91">
        <f>IF($AL$407=0,0,AL433/$AL$407)</f>
        <v>0.42304975958062158</v>
      </c>
      <c r="AK433" s="88"/>
      <c r="AL433" s="90">
        <f>SUM(AL420:AL432)</f>
        <v>1916351.56</v>
      </c>
      <c r="AM433" s="100"/>
      <c r="AN433" s="93">
        <f t="shared" ref="AN433:AN447" si="93">AF433-AL433</f>
        <v>-1770240.4300000002</v>
      </c>
      <c r="AO433" s="396">
        <f>IF(AL433=0,0,AN433/AL433)</f>
        <v>-0.92375557123767005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4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f t="shared" ref="Z434:Z451" si="94">+SUMIF($C:$C,$V434,F:F)</f>
        <v>104677</v>
      </c>
      <c r="AA434" s="412"/>
      <c r="AB434" s="412"/>
      <c r="AC434" s="238"/>
      <c r="AD434" s="413"/>
      <c r="AE434" s="414"/>
      <c r="AF434" s="238">
        <f t="shared" ref="AF434:AF451" si="95">+SUMIF($C:$C,$V434,L:L)</f>
        <v>2195.19</v>
      </c>
      <c r="AG434" s="413"/>
      <c r="AH434" s="415">
        <f t="shared" si="87"/>
        <v>-102481.81</v>
      </c>
      <c r="AI434" s="416">
        <f t="shared" ref="AI434:AI451" si="96">IF(Z434=0,0,AH434/Z434)</f>
        <v>-0.97902891752725052</v>
      </c>
      <c r="AJ434" s="413"/>
      <c r="AK434" s="412"/>
      <c r="AL434" s="238">
        <f t="shared" ref="AL434:AL447" si="97">+SUMIF($C:$C,$V434,Q:Q)</f>
        <v>115459.5</v>
      </c>
      <c r="AM434" s="417"/>
      <c r="AN434" s="415">
        <f t="shared" si="93"/>
        <v>-113264.31</v>
      </c>
      <c r="AO434" s="211">
        <f t="shared" ref="AO434:AO447" si="98">IF(AL434=0,0,AN434/AL434)</f>
        <v>-0.9809873592038767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4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212</v>
      </c>
      <c r="X435" s="398"/>
      <c r="Y435" s="398"/>
      <c r="Z435" s="87">
        <f t="shared" si="94"/>
        <v>39999.999999999993</v>
      </c>
      <c r="AA435" s="398"/>
      <c r="AB435" s="398"/>
      <c r="AC435" s="87"/>
      <c r="AD435" s="405"/>
      <c r="AE435" s="404"/>
      <c r="AF435" s="87">
        <f t="shared" si="95"/>
        <v>1075.23</v>
      </c>
      <c r="AG435" s="399"/>
      <c r="AH435" s="400">
        <f t="shared" si="87"/>
        <v>-38924.76999999999</v>
      </c>
      <c r="AI435" s="401">
        <f t="shared" si="96"/>
        <v>-0.97311924999999988</v>
      </c>
      <c r="AJ435" s="405"/>
      <c r="AK435" s="398"/>
      <c r="AL435" s="87">
        <f t="shared" si="97"/>
        <v>46504.559999999976</v>
      </c>
      <c r="AM435" s="402"/>
      <c r="AN435" s="400">
        <f t="shared" si="93"/>
        <v>-45429.329999999973</v>
      </c>
      <c r="AO435" s="212">
        <f t="shared" si="98"/>
        <v>-0.97687904153915217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4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f t="shared" si="94"/>
        <v>219136.00000000003</v>
      </c>
      <c r="AA436" s="388"/>
      <c r="AB436" s="388"/>
      <c r="AC436" s="389"/>
      <c r="AD436" s="408"/>
      <c r="AE436" s="407"/>
      <c r="AF436" s="389">
        <f t="shared" si="95"/>
        <v>7275.83</v>
      </c>
      <c r="AG436" s="390"/>
      <c r="AH436" s="391">
        <f t="shared" si="87"/>
        <v>-211860.17000000004</v>
      </c>
      <c r="AI436" s="409">
        <f t="shared" si="96"/>
        <v>-0.96679765077394864</v>
      </c>
      <c r="AJ436" s="408"/>
      <c r="AK436" s="388"/>
      <c r="AL436" s="389">
        <f t="shared" si="97"/>
        <v>219839</v>
      </c>
      <c r="AM436" s="393"/>
      <c r="AN436" s="391">
        <f t="shared" si="93"/>
        <v>-212563.17</v>
      </c>
      <c r="AO436" s="394">
        <f t="shared" si="98"/>
        <v>-0.96690382507198458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4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214</v>
      </c>
      <c r="X437" s="398"/>
      <c r="Y437" s="398"/>
      <c r="Z437" s="87">
        <f t="shared" si="94"/>
        <v>169968.00000000003</v>
      </c>
      <c r="AA437" s="398"/>
      <c r="AB437" s="398"/>
      <c r="AC437" s="87"/>
      <c r="AD437" s="405"/>
      <c r="AE437" s="404"/>
      <c r="AF437" s="87">
        <f t="shared" si="95"/>
        <v>15247.590000000002</v>
      </c>
      <c r="AG437" s="399"/>
      <c r="AH437" s="400">
        <f t="shared" si="87"/>
        <v>-154720.41000000003</v>
      </c>
      <c r="AI437" s="401">
        <f t="shared" si="96"/>
        <v>-0.91029140779440842</v>
      </c>
      <c r="AJ437" s="405"/>
      <c r="AK437" s="398"/>
      <c r="AL437" s="87">
        <f t="shared" si="97"/>
        <v>165556.25</v>
      </c>
      <c r="AM437" s="402"/>
      <c r="AN437" s="400">
        <f t="shared" si="93"/>
        <v>-150308.66</v>
      </c>
      <c r="AO437" s="212">
        <f t="shared" si="98"/>
        <v>-0.90790084940918869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4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215</v>
      </c>
      <c r="X438" s="398"/>
      <c r="Y438" s="398"/>
      <c r="Z438" s="87">
        <f t="shared" si="94"/>
        <v>22000</v>
      </c>
      <c r="AA438" s="398"/>
      <c r="AB438" s="398"/>
      <c r="AC438" s="87"/>
      <c r="AD438" s="405"/>
      <c r="AE438" s="404"/>
      <c r="AF438" s="87">
        <f t="shared" si="95"/>
        <v>631.79</v>
      </c>
      <c r="AG438" s="399"/>
      <c r="AH438" s="400">
        <f t="shared" si="87"/>
        <v>-21368.21</v>
      </c>
      <c r="AI438" s="401">
        <f t="shared" si="96"/>
        <v>-0.97128227272727263</v>
      </c>
      <c r="AJ438" s="405"/>
      <c r="AK438" s="398"/>
      <c r="AL438" s="87">
        <f t="shared" si="97"/>
        <v>27925.21</v>
      </c>
      <c r="AM438" s="402"/>
      <c r="AN438" s="400">
        <f t="shared" si="93"/>
        <v>-27293.42</v>
      </c>
      <c r="AO438" s="212">
        <f t="shared" si="98"/>
        <v>-0.97737564014737932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4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216</v>
      </c>
      <c r="X439" s="398"/>
      <c r="Y439" s="398"/>
      <c r="Z439" s="87">
        <f t="shared" si="94"/>
        <v>140592</v>
      </c>
      <c r="AA439" s="398"/>
      <c r="AB439" s="398"/>
      <c r="AC439" s="87"/>
      <c r="AD439" s="405"/>
      <c r="AE439" s="404"/>
      <c r="AF439" s="87">
        <f t="shared" si="95"/>
        <v>14442.800000000001</v>
      </c>
      <c r="AG439" s="399"/>
      <c r="AH439" s="400">
        <f t="shared" si="87"/>
        <v>-126149.2</v>
      </c>
      <c r="AI439" s="401">
        <f t="shared" si="96"/>
        <v>-0.89727153749857747</v>
      </c>
      <c r="AJ439" s="405"/>
      <c r="AK439" s="398"/>
      <c r="AL439" s="87">
        <f t="shared" si="97"/>
        <v>145609.51</v>
      </c>
      <c r="AM439" s="402"/>
      <c r="AN439" s="400">
        <f t="shared" si="93"/>
        <v>-131166.71000000002</v>
      </c>
      <c r="AO439" s="212">
        <f t="shared" si="98"/>
        <v>-0.9008114236494581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94"/>
        <v>0</v>
      </c>
      <c r="AA440" s="590"/>
      <c r="AB440" s="590"/>
      <c r="AC440" s="591"/>
      <c r="AD440" s="592"/>
      <c r="AE440" s="593"/>
      <c r="AF440" s="591">
        <f t="shared" si="95"/>
        <v>0</v>
      </c>
      <c r="AG440" s="594"/>
      <c r="AH440" s="595">
        <f t="shared" si="87"/>
        <v>0</v>
      </c>
      <c r="AI440" s="596">
        <f t="shared" si="96"/>
        <v>0</v>
      </c>
      <c r="AJ440" s="592"/>
      <c r="AK440" s="590"/>
      <c r="AL440" s="591">
        <f t="shared" si="97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4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94"/>
        <v>14010</v>
      </c>
      <c r="AA441" s="398"/>
      <c r="AB441" s="404"/>
      <c r="AC441" s="87"/>
      <c r="AD441" s="405"/>
      <c r="AE441" s="404"/>
      <c r="AF441" s="87">
        <f t="shared" si="95"/>
        <v>1758.85</v>
      </c>
      <c r="AG441" s="399"/>
      <c r="AH441" s="400">
        <f t="shared" si="87"/>
        <v>-12251.15</v>
      </c>
      <c r="AI441" s="401">
        <f t="shared" si="96"/>
        <v>-0.87445753033547469</v>
      </c>
      <c r="AJ441" s="405"/>
      <c r="AK441" s="398"/>
      <c r="AL441" s="87">
        <f t="shared" si="97"/>
        <v>16064.719999999998</v>
      </c>
      <c r="AM441" s="402"/>
      <c r="AN441" s="400">
        <f t="shared" si="93"/>
        <v>-14305.869999999997</v>
      </c>
      <c r="AO441" s="212">
        <f t="shared" si="98"/>
        <v>-0.89051474286511056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4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94"/>
        <v>12720</v>
      </c>
      <c r="AA442" s="398"/>
      <c r="AB442" s="398"/>
      <c r="AC442" s="87"/>
      <c r="AD442" s="405"/>
      <c r="AE442" s="404"/>
      <c r="AF442" s="87">
        <f t="shared" si="95"/>
        <v>684.54</v>
      </c>
      <c r="AG442" s="399"/>
      <c r="AH442" s="400">
        <f t="shared" si="87"/>
        <v>-12035.46</v>
      </c>
      <c r="AI442" s="97">
        <f t="shared" si="96"/>
        <v>-0.94618396226415091</v>
      </c>
      <c r="AJ442" s="405"/>
      <c r="AK442" s="398"/>
      <c r="AL442" s="87">
        <f t="shared" si="97"/>
        <v>14490.840000000002</v>
      </c>
      <c r="AM442" s="402"/>
      <c r="AN442" s="400">
        <f t="shared" si="93"/>
        <v>-13806.300000000003</v>
      </c>
      <c r="AO442" s="212">
        <f t="shared" si="98"/>
        <v>-0.95276050249674971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4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94"/>
        <v>18900</v>
      </c>
      <c r="AA443" s="398"/>
      <c r="AB443" s="398"/>
      <c r="AC443" s="87"/>
      <c r="AD443" s="405"/>
      <c r="AE443" s="404"/>
      <c r="AF443" s="87">
        <f t="shared" si="95"/>
        <v>482.67</v>
      </c>
      <c r="AG443" s="399"/>
      <c r="AH443" s="400">
        <f t="shared" si="87"/>
        <v>-18417.330000000002</v>
      </c>
      <c r="AI443" s="401">
        <f t="shared" si="96"/>
        <v>-0.97446190476190486</v>
      </c>
      <c r="AJ443" s="405"/>
      <c r="AK443" s="398"/>
      <c r="AL443" s="87">
        <f t="shared" si="97"/>
        <v>17261.150000000001</v>
      </c>
      <c r="AM443" s="402"/>
      <c r="AN443" s="400">
        <f t="shared" si="93"/>
        <v>-16778.480000000003</v>
      </c>
      <c r="AO443" s="212">
        <f t="shared" si="98"/>
        <v>-0.97203720493709878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4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219</v>
      </c>
      <c r="X444" s="398"/>
      <c r="Y444" s="398"/>
      <c r="Z444" s="87">
        <f t="shared" si="94"/>
        <v>6144.0000000000009</v>
      </c>
      <c r="AA444" s="398"/>
      <c r="AB444" s="398"/>
      <c r="AC444" s="87"/>
      <c r="AD444" s="405"/>
      <c r="AE444" s="404"/>
      <c r="AF444" s="87">
        <f t="shared" si="95"/>
        <v>828.16000000000008</v>
      </c>
      <c r="AG444" s="399"/>
      <c r="AH444" s="400">
        <f t="shared" si="87"/>
        <v>-5315.8400000000011</v>
      </c>
      <c r="AI444" s="97">
        <f t="shared" si="96"/>
        <v>-0.86520833333333336</v>
      </c>
      <c r="AJ444" s="405"/>
      <c r="AK444" s="398"/>
      <c r="AL444" s="87">
        <f t="shared" si="97"/>
        <v>6819.9699999999993</v>
      </c>
      <c r="AM444" s="402"/>
      <c r="AN444" s="400">
        <f t="shared" si="93"/>
        <v>-5991.8099999999995</v>
      </c>
      <c r="AO444" s="212">
        <f t="shared" si="98"/>
        <v>-0.87856838079932909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4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220</v>
      </c>
      <c r="X445" s="398"/>
      <c r="Y445" s="398"/>
      <c r="Z445" s="87">
        <f t="shared" si="94"/>
        <v>11400</v>
      </c>
      <c r="AA445" s="398"/>
      <c r="AB445" s="398"/>
      <c r="AC445" s="87"/>
      <c r="AD445" s="405"/>
      <c r="AE445" s="404"/>
      <c r="AF445" s="87">
        <f t="shared" si="95"/>
        <v>696.15</v>
      </c>
      <c r="AG445" s="399"/>
      <c r="AH445" s="400">
        <f t="shared" si="87"/>
        <v>-10703.85</v>
      </c>
      <c r="AI445" s="401">
        <f t="shared" si="96"/>
        <v>-0.93893421052631587</v>
      </c>
      <c r="AJ445" s="405"/>
      <c r="AK445" s="398"/>
      <c r="AL445" s="87">
        <f t="shared" si="97"/>
        <v>11402.68</v>
      </c>
      <c r="AM445" s="402"/>
      <c r="AN445" s="400">
        <f t="shared" si="93"/>
        <v>-10706.53</v>
      </c>
      <c r="AO445" s="212">
        <f t="shared" si="98"/>
        <v>-0.93894856296940721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4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221</v>
      </c>
      <c r="X446" s="398"/>
      <c r="Y446" s="404"/>
      <c r="Z446" s="87">
        <f t="shared" si="94"/>
        <v>20892</v>
      </c>
      <c r="AA446" s="398"/>
      <c r="AB446" s="404"/>
      <c r="AC446" s="87"/>
      <c r="AD446" s="405"/>
      <c r="AE446" s="404"/>
      <c r="AF446" s="87">
        <f t="shared" si="95"/>
        <v>339.99</v>
      </c>
      <c r="AG446" s="399"/>
      <c r="AH446" s="400">
        <f t="shared" si="87"/>
        <v>-20552.009999999998</v>
      </c>
      <c r="AI446" s="97">
        <f t="shared" si="96"/>
        <v>-0.98372630672027561</v>
      </c>
      <c r="AJ446" s="405"/>
      <c r="AK446" s="398"/>
      <c r="AL446" s="87">
        <f t="shared" si="97"/>
        <v>21058.589999999989</v>
      </c>
      <c r="AM446" s="402"/>
      <c r="AN446" s="400">
        <f t="shared" si="93"/>
        <v>-20718.599999999988</v>
      </c>
      <c r="AO446" s="212">
        <f t="shared" si="98"/>
        <v>-0.98385504442605121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4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222</v>
      </c>
      <c r="X447" s="398"/>
      <c r="Y447" s="404"/>
      <c r="Z447" s="87">
        <f t="shared" si="94"/>
        <v>30988.2536</v>
      </c>
      <c r="AA447" s="398"/>
      <c r="AB447" s="404"/>
      <c r="AC447" s="87"/>
      <c r="AD447" s="405"/>
      <c r="AE447" s="404"/>
      <c r="AF447" s="87">
        <f t="shared" si="95"/>
        <v>2416.73</v>
      </c>
      <c r="AG447" s="399"/>
      <c r="AH447" s="400">
        <f t="shared" si="87"/>
        <v>-28571.5236</v>
      </c>
      <c r="AI447" s="401">
        <f t="shared" si="96"/>
        <v>-0.92201141660980857</v>
      </c>
      <c r="AJ447" s="405"/>
      <c r="AK447" s="398"/>
      <c r="AL447" s="87">
        <f t="shared" si="97"/>
        <v>17537.200000000004</v>
      </c>
      <c r="AM447" s="402"/>
      <c r="AN447" s="400">
        <f t="shared" si="93"/>
        <v>-15120.470000000005</v>
      </c>
      <c r="AO447" s="212">
        <f t="shared" si="98"/>
        <v>-0.86219407887234001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4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223</v>
      </c>
      <c r="X448" s="398"/>
      <c r="Y448" s="404"/>
      <c r="Z448" s="87">
        <f t="shared" si="94"/>
        <v>78526.351005882374</v>
      </c>
      <c r="AA448" s="398"/>
      <c r="AB448" s="404"/>
      <c r="AC448" s="87"/>
      <c r="AD448" s="405"/>
      <c r="AE448" s="404"/>
      <c r="AF448" s="87">
        <f t="shared" si="95"/>
        <v>5115.18</v>
      </c>
      <c r="AG448" s="399"/>
      <c r="AH448" s="400">
        <f t="shared" si="87"/>
        <v>-73411.171005882381</v>
      </c>
      <c r="AI448" s="401">
        <f t="shared" si="96"/>
        <v>-0.93486033752393749</v>
      </c>
      <c r="AJ448" s="405"/>
      <c r="AK448" s="398"/>
      <c r="AL448" s="87" cm="1">
        <f t="array" ref="AL448">+SUMPRODUCT(('Réel 2024'!$A$8:$A$501=$A448)*('Réel 2024'!$C$3:$AO$3=Z$2),'Réel 2024'!$C$8:$AO$501)</f>
        <v>79740.439999999871</v>
      </c>
      <c r="AM448" s="402"/>
      <c r="AN448" s="400">
        <f>AF448-AL448</f>
        <v>-74625.259999999864</v>
      </c>
      <c r="AO448" s="212">
        <f>IF(AL448=0,0,AN448/AL448)</f>
        <v>-0.93585212221051184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4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 t="shared" si="94"/>
        <v>0</v>
      </c>
      <c r="AA449" s="398"/>
      <c r="AB449" s="398"/>
      <c r="AC449" s="400"/>
      <c r="AD449" s="405"/>
      <c r="AE449" s="404"/>
      <c r="AF449" s="87">
        <f t="shared" si="95"/>
        <v>0</v>
      </c>
      <c r="AG449" s="399"/>
      <c r="AH449" s="400">
        <f t="shared" si="87"/>
        <v>0</v>
      </c>
      <c r="AI449" s="401">
        <f t="shared" si="96"/>
        <v>0</v>
      </c>
      <c r="AJ449" s="405"/>
      <c r="AK449" s="398"/>
      <c r="AL449" s="87">
        <f>+SUMIF($C:$C,$V449,Q:Q)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 t="shared" si="94"/>
        <v>0</v>
      </c>
      <c r="AA450" s="398"/>
      <c r="AB450" s="398"/>
      <c r="AC450" s="400"/>
      <c r="AD450" s="405"/>
      <c r="AE450" s="404"/>
      <c r="AF450" s="87">
        <f t="shared" si="95"/>
        <v>0</v>
      </c>
      <c r="AG450" s="399"/>
      <c r="AH450" s="400">
        <f t="shared" si="87"/>
        <v>0</v>
      </c>
      <c r="AI450" s="401">
        <f t="shared" si="96"/>
        <v>0</v>
      </c>
      <c r="AJ450" s="405"/>
      <c r="AK450" s="398"/>
      <c r="AL450" s="87">
        <f>+SUMIF($C:$C,$V450,Q:Q)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 t="shared" si="94"/>
        <v>0</v>
      </c>
      <c r="AA451" s="398"/>
      <c r="AB451" s="398"/>
      <c r="AC451" s="400"/>
      <c r="AD451" s="405"/>
      <c r="AE451" s="404"/>
      <c r="AF451" s="87">
        <f t="shared" si="95"/>
        <v>0</v>
      </c>
      <c r="AG451" s="399"/>
      <c r="AH451" s="400">
        <f t="shared" si="87"/>
        <v>0</v>
      </c>
      <c r="AI451" s="401">
        <f t="shared" si="96"/>
        <v>0</v>
      </c>
      <c r="AJ451" s="405"/>
      <c r="AK451" s="398"/>
      <c r="AL451" s="87">
        <f>+SUMIF($C:$C,$V451,Q:Q)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4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0.19567157400063526</v>
      </c>
      <c r="Y452" s="88"/>
      <c r="Z452" s="90">
        <f>+SUM(Z434:Z451)</f>
        <v>889953.60460588243</v>
      </c>
      <c r="AA452" s="89"/>
      <c r="AB452" s="88"/>
      <c r="AC452" s="90"/>
      <c r="AD452" s="91">
        <f>AF452/AF407</f>
        <v>0.25834111730115716</v>
      </c>
      <c r="AE452" s="88"/>
      <c r="AF452" s="90">
        <f>+SUM(AF434:AF451)</f>
        <v>53190.700000000012</v>
      </c>
      <c r="AG452" s="99"/>
      <c r="AH452" s="93">
        <f>+SUM(AH434:AH451)</f>
        <v>-836762.90460588224</v>
      </c>
      <c r="AI452" s="89">
        <f>AH452/Z452</f>
        <v>-0.94023205285678257</v>
      </c>
      <c r="AJ452" s="91">
        <f>IF($AL$407=0,0,AL452/$AL$407)</f>
        <v>0.19984542663802277</v>
      </c>
      <c r="AK452" s="89"/>
      <c r="AL452" s="90">
        <f>+SUM(AL434:AL451)</f>
        <v>905269.61999999965</v>
      </c>
      <c r="AM452" s="100"/>
      <c r="AN452" s="93">
        <f>+SUM(AN434:AN451)</f>
        <v>-852078.92</v>
      </c>
      <c r="AO452" s="551">
        <f>IF(AL452=0,0,AN452/AL452)</f>
        <v>-0.94124325082288784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4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 cm="1">
        <f t="array" ref="Z453">+SUMPRODUCT(('Budget original'!$A$8:$A$501=$A453)*('Budget original'!$C$3:$AO$3=Z$2),'Budget original'!$C$8:$AO$501)</f>
        <v>600000</v>
      </c>
      <c r="AA453" s="398"/>
      <c r="AB453" s="404"/>
      <c r="AC453" s="87"/>
      <c r="AD453" s="405"/>
      <c r="AE453" s="404"/>
      <c r="AF453" s="87">
        <f>SUMIFS(BV_Data_An_Cour!$P:$P,BV_Data_An_Cour!$V:$V,$V453)</f>
        <v>40000</v>
      </c>
      <c r="AG453" s="399"/>
      <c r="AH453" s="400">
        <f t="shared" ref="AH453:AH461" si="99">AF453-Z453</f>
        <v>-560000</v>
      </c>
      <c r="AI453" s="401">
        <f t="shared" ref="AI453:AI461" si="100">IF(Z453=0,0,AH453/Z453)</f>
        <v>-0.93333333333333335</v>
      </c>
      <c r="AJ453" s="405"/>
      <c r="AK453" s="398"/>
      <c r="AL453" s="87" cm="1">
        <f t="array" ref="AL453">+SUMPRODUCT(('Réel 2024'!$A$8:$A$501=$A453)*('Réel 2024'!$C$3:$AO$3=Z$2),'Réel 2024'!$C$8:$AO$501)</f>
        <v>600000</v>
      </c>
      <c r="AM453" s="402"/>
      <c r="AN453" s="400">
        <f t="shared" ref="AN453:AN461" si="101">AF453-AL453</f>
        <v>-560000</v>
      </c>
      <c r="AO453" s="212">
        <f t="shared" ref="AO453:AO461" si="102">IF(AL453=0,0,AN453/AL453)</f>
        <v>-0.93333333333333335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4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 cm="1">
        <f t="array" ref="Z454">+SUMPRODUCT(('Budget original'!$A$8:$A$501=$A454)*('Budget original'!$C$3:$AO$3=Z$2),'Budget original'!$C$8:$AO$501)</f>
        <v>71196.84</v>
      </c>
      <c r="AA454" s="398"/>
      <c r="AB454" s="404"/>
      <c r="AC454" s="87"/>
      <c r="AD454" s="405"/>
      <c r="AE454" s="404"/>
      <c r="AF454" s="87">
        <f>SUMIFS(BV_Data_An_Cour!$P:$P,BV_Data_An_Cour!$V:$V,$V454)</f>
        <v>0</v>
      </c>
      <c r="AG454" s="399"/>
      <c r="AH454" s="400">
        <f t="shared" si="99"/>
        <v>-71196.84</v>
      </c>
      <c r="AI454" s="401">
        <f t="shared" si="100"/>
        <v>-1</v>
      </c>
      <c r="AJ454" s="405"/>
      <c r="AK454" s="398"/>
      <c r="AL454" s="87" cm="1">
        <f t="array" ref="AL454">+SUMPRODUCT(('Réel 2024'!$A$8:$A$501=$A454)*('Réel 2024'!$C$3:$AO$3=Z$2),'Réel 2024'!$C$8:$AO$501)</f>
        <v>68445.899999999994</v>
      </c>
      <c r="AM454" s="402"/>
      <c r="AN454" s="400">
        <f t="shared" si="101"/>
        <v>-68445.899999999994</v>
      </c>
      <c r="AO454" s="212">
        <f t="shared" si="102"/>
        <v>-1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4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 cm="1">
        <f t="array" ref="Z455">+SUMPRODUCT(('Budget original'!$A$8:$A$501=$A455)*('Budget original'!$C$3:$AO$3=Z$2),'Budget original'!$C$8:$AO$501)</f>
        <v>30513</v>
      </c>
      <c r="AA455" s="388"/>
      <c r="AB455" s="407"/>
      <c r="AC455" s="389"/>
      <c r="AD455" s="408"/>
      <c r="AE455" s="407"/>
      <c r="AF455" s="389">
        <f>SUMIFS(BV_Data_An_Cour!$P:$P,BV_Data_An_Cour!$V:$V,$V455)</f>
        <v>150</v>
      </c>
      <c r="AG455" s="390"/>
      <c r="AH455" s="391">
        <f t="shared" si="99"/>
        <v>-30363</v>
      </c>
      <c r="AI455" s="409">
        <f t="shared" si="100"/>
        <v>-0.99508406253072457</v>
      </c>
      <c r="AJ455" s="408"/>
      <c r="AK455" s="388"/>
      <c r="AL455" s="389" cm="1">
        <f t="array" ref="AL455">+SUMPRODUCT(('Réel 2024'!$A$8:$A$501=$A455)*('Réel 2024'!$C$3:$AO$3=Z$2),'Réel 2024'!$C$8:$AO$501)</f>
        <v>29333.92999999996</v>
      </c>
      <c r="AM455" s="393"/>
      <c r="AN455" s="391">
        <f t="shared" si="101"/>
        <v>-29183.92999999996</v>
      </c>
      <c r="AO455" s="394">
        <f t="shared" si="102"/>
        <v>-0.99488646765026034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74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 cm="1">
        <f t="array" ref="Z456">+SUMPRODUCT(('Budget original'!$A$8:$A$501=$A456)*('Budget original'!$C$3:$AO$3=Z$2),'Budget original'!$C$8:$AO$501)</f>
        <v>0</v>
      </c>
      <c r="AA456" s="398"/>
      <c r="AB456" s="404"/>
      <c r="AC456" s="87"/>
      <c r="AD456" s="405"/>
      <c r="AE456" s="404"/>
      <c r="AF456" s="87">
        <f>SUMIFS(BV_Data_An_Cour!$P:$P,BV_Data_An_Cour!$V:$V,$V456)</f>
        <v>0</v>
      </c>
      <c r="AG456" s="399"/>
      <c r="AH456" s="400">
        <f t="shared" si="99"/>
        <v>0</v>
      </c>
      <c r="AI456" s="401">
        <f t="shared" si="100"/>
        <v>0</v>
      </c>
      <c r="AJ456" s="405"/>
      <c r="AK456" s="398"/>
      <c r="AL456" s="87" cm="1">
        <f t="array" ref="AL456">+SUMPRODUCT(('Réel 2024'!$A$8:$A$501=$A456)*('Réel 2024'!$C$3:$AO$3=Z$2),'Réel 2024'!$C$8:$AO$501)</f>
        <v>0</v>
      </c>
      <c r="AM456" s="402"/>
      <c r="AN456" s="400">
        <f t="shared" si="101"/>
        <v>0</v>
      </c>
      <c r="AO456" s="212">
        <f t="shared" si="102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4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 cm="1">
        <f t="array" ref="Z457">+SUMPRODUCT(('Budget original'!$A$8:$A$501=$A457)*('Budget original'!$C$3:$AO$3=Z$2),'Budget original'!$C$8:$AO$501)</f>
        <v>58248</v>
      </c>
      <c r="AA457" s="388"/>
      <c r="AB457" s="407"/>
      <c r="AC457" s="389"/>
      <c r="AD457" s="408"/>
      <c r="AE457" s="407"/>
      <c r="AF457" s="389">
        <f>SUMIF(BV_Data_An_Cour!$V:$V,Print_AAD!$V457,BV_Data_An_Cour!$P:$P)</f>
        <v>3571.17</v>
      </c>
      <c r="AG457" s="390"/>
      <c r="AH457" s="391">
        <f t="shared" si="99"/>
        <v>-54676.83</v>
      </c>
      <c r="AI457" s="409">
        <f t="shared" si="100"/>
        <v>-0.93869025545941498</v>
      </c>
      <c r="AJ457" s="408"/>
      <c r="AK457" s="388"/>
      <c r="AL457" s="389" cm="1">
        <f t="array" ref="AL457">+SUMPRODUCT(('Réel 2024'!$A$8:$A$501=$A457)*('Réel 2024'!$C$3:$AO$3=Z$2),'Réel 2024'!$C$8:$AO$501)</f>
        <v>53510.45</v>
      </c>
      <c r="AM457" s="393"/>
      <c r="AN457" s="391">
        <f t="shared" si="101"/>
        <v>-49939.28</v>
      </c>
      <c r="AO457" s="394">
        <f t="shared" si="102"/>
        <v>-0.93326219458068471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4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 cm="1">
        <f t="array" ref="Z458">+SUMPRODUCT(('Budget original'!$A$8:$A$501=$A458)*('Budget original'!$C$3:$AO$3=Z$2),'Budget original'!$C$8:$AO$501)</f>
        <v>60000</v>
      </c>
      <c r="AA458" s="244"/>
      <c r="AB458" s="237"/>
      <c r="AC458" s="87"/>
      <c r="AD458" s="405"/>
      <c r="AE458" s="404"/>
      <c r="AF458" s="87">
        <f>SUMIFS(BV_Data_An_Cour!$P:$P,BV_Data_An_Cour!$V:$V,$V458)</f>
        <v>11054.28</v>
      </c>
      <c r="AG458" s="399"/>
      <c r="AH458" s="400">
        <f t="shared" si="99"/>
        <v>-48945.72</v>
      </c>
      <c r="AI458" s="401">
        <f t="shared" si="100"/>
        <v>-0.81576199999999999</v>
      </c>
      <c r="AJ458" s="405"/>
      <c r="AK458" s="398"/>
      <c r="AL458" s="87" cm="1">
        <f t="array" ref="AL458">+SUMPRODUCT(('Réel 2024'!$A$8:$A$501=$A458)*('Réel 2024'!$C$3:$AO$3=Z$2),'Réel 2024'!$C$8:$AO$501)</f>
        <v>57840.359999999971</v>
      </c>
      <c r="AM458" s="402"/>
      <c r="AN458" s="400">
        <f t="shared" si="101"/>
        <v>-46786.079999999973</v>
      </c>
      <c r="AO458" s="212">
        <f t="shared" si="102"/>
        <v>-0.80888293226390695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4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236</v>
      </c>
      <c r="X459" s="398"/>
      <c r="Y459" s="404"/>
      <c r="Z459" s="87" cm="1">
        <f t="array" ref="Z459">+SUMPRODUCT(('Budget original'!$A$8:$A$501=$A459)*('Budget original'!$C$3:$AO$3=Z$2),'Budget original'!$C$8:$AO$501)</f>
        <v>78496</v>
      </c>
      <c r="AA459" s="398"/>
      <c r="AB459" s="404"/>
      <c r="AC459" s="87"/>
      <c r="AD459" s="405"/>
      <c r="AE459" s="404"/>
      <c r="AF459" s="87">
        <f>SUMIFS(BV_Data_An_Cour!$P:$P,BV_Data_An_Cour!$V:$V,$V459)</f>
        <v>0</v>
      </c>
      <c r="AG459" s="399"/>
      <c r="AH459" s="400">
        <f t="shared" si="99"/>
        <v>-78496</v>
      </c>
      <c r="AI459" s="401">
        <f t="shared" si="100"/>
        <v>-1</v>
      </c>
      <c r="AJ459" s="405"/>
      <c r="AK459" s="398"/>
      <c r="AL459" s="87" cm="1">
        <f t="array" ref="AL459">+SUMPRODUCT(('Réel 2024'!$A$8:$A$501=$A459)*('Réel 2024'!$C$3:$AO$3=Z$2),'Réel 2024'!$C$8:$AO$501)</f>
        <v>75687.960000000006</v>
      </c>
      <c r="AM459" s="402"/>
      <c r="AN459" s="400">
        <f t="shared" si="101"/>
        <v>-75687.960000000006</v>
      </c>
      <c r="AO459" s="212">
        <f t="shared" si="102"/>
        <v>-1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4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 cm="1">
        <f t="array" ref="Z460">+SUMPRODUCT(('Budget original'!$A$8:$A$501=$A460)*('Budget original'!$C$3:$AO$3=Z$2),'Budget original'!$C$8:$AO$501)</f>
        <v>5200</v>
      </c>
      <c r="AA460" s="388"/>
      <c r="AB460" s="407"/>
      <c r="AC460" s="389"/>
      <c r="AD460" s="408"/>
      <c r="AE460" s="407"/>
      <c r="AF460" s="389">
        <f>SUMIFS(BV_Data_An_Cour!$P:$P,BV_Data_An_Cour!$V:$V,$V460)</f>
        <v>371</v>
      </c>
      <c r="AG460" s="390"/>
      <c r="AH460" s="391">
        <f t="shared" si="99"/>
        <v>-4829</v>
      </c>
      <c r="AI460" s="409">
        <f t="shared" si="100"/>
        <v>-0.92865384615384616</v>
      </c>
      <c r="AJ460" s="408"/>
      <c r="AK460" s="388"/>
      <c r="AL460" s="389" cm="1">
        <f t="array" ref="AL460">+SUMPRODUCT(('Réel 2024'!$A$8:$A$501=$A460)*('Réel 2024'!$C$3:$AO$3=Z$2),'Réel 2024'!$C$8:$AO$501)</f>
        <v>4079.18</v>
      </c>
      <c r="AM460" s="393"/>
      <c r="AN460" s="391">
        <f t="shared" si="101"/>
        <v>-3708.18</v>
      </c>
      <c r="AO460" s="394">
        <f t="shared" si="102"/>
        <v>-0.90905034835432608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4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 cm="1">
        <f t="array" ref="Z461">+SUMPRODUCT(('Budget original'!$A$8:$A$501=$A461)*('Budget original'!$C$3:$AO$3=Z$2),'Budget original'!$C$8:$AO$501)</f>
        <v>2544.0000000000005</v>
      </c>
      <c r="AA461" s="398"/>
      <c r="AB461" s="404"/>
      <c r="AC461" s="87"/>
      <c r="AD461" s="405"/>
      <c r="AE461" s="404"/>
      <c r="AF461" s="87">
        <f>SUMIFS(BV_Data_An_Cour!$P:$P,BV_Data_An_Cour!$V:$V,$V461)</f>
        <v>345.59999999999997</v>
      </c>
      <c r="AG461" s="399"/>
      <c r="AH461" s="400">
        <f t="shared" si="99"/>
        <v>-2198.4000000000005</v>
      </c>
      <c r="AI461" s="418">
        <f t="shared" si="100"/>
        <v>-0.86415094339622645</v>
      </c>
      <c r="AJ461" s="398"/>
      <c r="AK461" s="398"/>
      <c r="AL461" s="87" cm="1">
        <f t="array" ref="AL461">+SUMPRODUCT(('Réel 2024'!$A$8:$A$501=$A461)*('Réel 2024'!$C$3:$AO$3=Z$2),'Réel 2024'!$C$8:$AO$501)</f>
        <v>2887.7799999999943</v>
      </c>
      <c r="AM461" s="402"/>
      <c r="AN461" s="400">
        <f t="shared" si="101"/>
        <v>-2542.1799999999944</v>
      </c>
      <c r="AO461" s="212">
        <f t="shared" si="102"/>
        <v>-0.88032329332566861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74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 cm="1">
        <f t="array" ref="Z462">+SUMPRODUCT(('Budget original'!$A$8:$A$501=$A462)*('Budget original'!$C$3:$AO$3=Z$2),'Budget original'!$C$8:$AO$501)</f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 cm="1">
        <f t="array" ref="AL462">+SUMPRODUCT(('Réel 2024'!$A$8:$A$501=$A462)*('Réel 2024'!$C$3:$AO$3=Z$2),'Réel 2024'!$C$8:$AO$501)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4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v>0</v>
      </c>
      <c r="AA463" s="398"/>
      <c r="AB463" s="398"/>
      <c r="AC463" s="400"/>
      <c r="AD463" s="405"/>
      <c r="AE463" s="404"/>
      <c r="AF463" s="87"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v>0</v>
      </c>
      <c r="AA464" s="398"/>
      <c r="AB464" s="398"/>
      <c r="AC464" s="400"/>
      <c r="AD464" s="405"/>
      <c r="AE464" s="404"/>
      <c r="AF464" s="87"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v>0</v>
      </c>
      <c r="AA465" s="398"/>
      <c r="AB465" s="398"/>
      <c r="AC465" s="400"/>
      <c r="AD465" s="405"/>
      <c r="AE465" s="404"/>
      <c r="AF465" s="87"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4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0.19924314794735962</v>
      </c>
      <c r="Y466" s="88"/>
      <c r="Z466" s="90">
        <f>SUM(Z453:Z465)</f>
        <v>906197.84</v>
      </c>
      <c r="AA466" s="89"/>
      <c r="AB466" s="88"/>
      <c r="AC466" s="90"/>
      <c r="AD466" s="91">
        <f>AF466/AF407</f>
        <v>0.26951850978332065</v>
      </c>
      <c r="AE466" s="88"/>
      <c r="AF466" s="90">
        <f>SUM(AF453:AF465)</f>
        <v>55492.049999999996</v>
      </c>
      <c r="AG466" s="99"/>
      <c r="AH466" s="93">
        <f>SUM(AH453:AH465)</f>
        <v>-850705.78999999992</v>
      </c>
      <c r="AI466" s="89">
        <f>IF(Z466=0,0,AH466/Z466)</f>
        <v>-0.93876386860511607</v>
      </c>
      <c r="AJ466" s="91">
        <f>IF($AL$407=0,0,AL466/$AL$407)</f>
        <v>0.19686871377372425</v>
      </c>
      <c r="AK466" s="89"/>
      <c r="AL466" s="90">
        <f>SUM(AL453:AL465)</f>
        <v>891785.55999999994</v>
      </c>
      <c r="AM466" s="100"/>
      <c r="AN466" s="93">
        <f>SUM(AN453:AN465)</f>
        <v>-836293.51</v>
      </c>
      <c r="AO466" s="551">
        <f t="shared" ref="AO466:AO483" si="103">IF(AL466=0,0,AN466/AL466)</f>
        <v>-0.93777422231416263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4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104">AF467-Z467</f>
        <v>0</v>
      </c>
      <c r="AI467" s="401"/>
      <c r="AJ467" s="405"/>
      <c r="AK467" s="398"/>
      <c r="AL467" s="105"/>
      <c r="AM467" s="419"/>
      <c r="AN467" s="400">
        <f t="shared" ref="AN467:AN473" si="105">AF467-AL467</f>
        <v>0</v>
      </c>
      <c r="AO467" s="420">
        <f t="shared" si="10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4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1.1539911789365309</v>
      </c>
      <c r="Y468" s="88"/>
      <c r="Z468" s="90">
        <f>Z419+Z433+Z452+Z466</f>
        <v>5248583.5749173425</v>
      </c>
      <c r="AA468" s="89"/>
      <c r="AB468" s="88"/>
      <c r="AC468" s="90"/>
      <c r="AD468" s="91">
        <f>AF468/AF407</f>
        <v>1.5466204142262434</v>
      </c>
      <c r="AE468" s="88"/>
      <c r="AF468" s="90">
        <f>AF419+AF433+AF452+AF466</f>
        <v>318438.75</v>
      </c>
      <c r="AG468" s="99"/>
      <c r="AH468" s="93">
        <f t="shared" si="104"/>
        <v>-4930144.8249173425</v>
      </c>
      <c r="AI468" s="89">
        <f>AH468/Z468</f>
        <v>-0.93932863115264098</v>
      </c>
      <c r="AJ468" s="91">
        <f>IF($AL$407=0,0,AL468/$AL$407)</f>
        <v>1.1593323726346594</v>
      </c>
      <c r="AK468" s="89"/>
      <c r="AL468" s="90">
        <f>AL419+AL433+AL452+AL466</f>
        <v>5251600.669999999</v>
      </c>
      <c r="AM468" s="100"/>
      <c r="AN468" s="93">
        <f t="shared" si="105"/>
        <v>-4933161.919999999</v>
      </c>
      <c r="AO468" s="396">
        <f t="shared" si="103"/>
        <v>-0.93936348743744069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4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 cm="1">
        <f t="array" ref="Z469">+SUMPRODUCT(('Budget original'!$A$8:$A$501=$A469)*('Budget original'!$C$3:$AO$3=Z$2),'Budget original'!$C$8:$AO$501)</f>
        <v>0</v>
      </c>
      <c r="AA469" s="239"/>
      <c r="AB469" s="240"/>
      <c r="AC469" s="238"/>
      <c r="AD469" s="242"/>
      <c r="AE469" s="240"/>
      <c r="AF469" s="87">
        <f>-SUMIFS(BV_Data_An_Cour!$P:$P,BV_Data_An_Cour!$V:$V,$V469)</f>
        <v>0.15</v>
      </c>
      <c r="AG469" s="241"/>
      <c r="AH469" s="400">
        <f t="shared" si="104"/>
        <v>0.15</v>
      </c>
      <c r="AI469" s="418" t="e">
        <f>IF(AH469=0,0,AH469/Z469)</f>
        <v>#DIV/0!</v>
      </c>
      <c r="AJ469" s="242"/>
      <c r="AK469" s="239"/>
      <c r="AL469" s="421" cm="1">
        <f t="array" ref="AL469">+SUMPRODUCT(('Réel 2024'!$A$8:$A$501=$A469)*('Réel 2024'!$C$3:$AO$3=Z$2),'Réel 2024'!$C$8:$AO$501)</f>
        <v>177799.07999999996</v>
      </c>
      <c r="AM469" s="243"/>
      <c r="AN469" s="400">
        <f t="shared" si="105"/>
        <v>-177798.92999999996</v>
      </c>
      <c r="AO469" s="212">
        <f t="shared" si="103"/>
        <v>-0.99999915635109027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4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 t="shared" ref="Z470:Z476" si="106">+SUMIF($C:$C,$V470,F:F)</f>
        <v>470608.44</v>
      </c>
      <c r="AA470" s="244"/>
      <c r="AB470" s="237"/>
      <c r="AC470" s="87"/>
      <c r="AD470" s="246"/>
      <c r="AE470" s="237"/>
      <c r="AF470" s="87">
        <f t="shared" ref="AF470:AF476" si="107">+SUMIF($C:$C,$V470,L:L)</f>
        <v>32718</v>
      </c>
      <c r="AG470" s="245"/>
      <c r="AH470" s="400">
        <f t="shared" si="104"/>
        <v>-437890.44</v>
      </c>
      <c r="AI470" s="97">
        <f>IF(Z470=0,0,AH470/Z470)</f>
        <v>-0.93047723495991697</v>
      </c>
      <c r="AJ470" s="246"/>
      <c r="AK470" s="244"/>
      <c r="AL470" s="247">
        <f t="shared" ref="AL470:AL476" si="108">+SUMIF($C:$C,$V470,Q:Q)</f>
        <v>480905.59999999992</v>
      </c>
      <c r="AM470" s="248"/>
      <c r="AN470" s="400">
        <f t="shared" si="105"/>
        <v>-448187.59999999992</v>
      </c>
      <c r="AO470" s="212">
        <f t="shared" si="103"/>
        <v>-0.93196585774838137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4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 t="shared" si="106"/>
        <v>435312.80699999997</v>
      </c>
      <c r="AA471" s="244"/>
      <c r="AB471" s="237"/>
      <c r="AC471" s="87"/>
      <c r="AD471" s="246"/>
      <c r="AE471" s="237"/>
      <c r="AF471" s="87">
        <f t="shared" si="107"/>
        <v>20598</v>
      </c>
      <c r="AG471" s="245"/>
      <c r="AH471" s="400">
        <f t="shared" si="104"/>
        <v>-414714.80699999997</v>
      </c>
      <c r="AI471" s="97">
        <f t="shared" ref="AI471:AI480" si="109">IF(AH471=0,0,AH471/Z471)</f>
        <v>-0.95268230185564007</v>
      </c>
      <c r="AJ471" s="246"/>
      <c r="AK471" s="244"/>
      <c r="AL471" s="247">
        <f t="shared" si="108"/>
        <v>413289.73000000004</v>
      </c>
      <c r="AM471" s="248"/>
      <c r="AN471" s="400">
        <f t="shared" si="105"/>
        <v>-392691.73000000004</v>
      </c>
      <c r="AO471" s="212">
        <f t="shared" si="103"/>
        <v>-0.95016087140611982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4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 t="shared" si="106"/>
        <v>0</v>
      </c>
      <c r="AA472" s="244"/>
      <c r="AB472" s="237"/>
      <c r="AC472" s="87"/>
      <c r="AD472" s="246"/>
      <c r="AE472" s="237"/>
      <c r="AF472" s="87">
        <f t="shared" si="107"/>
        <v>0</v>
      </c>
      <c r="AG472" s="245"/>
      <c r="AH472" s="400">
        <f t="shared" si="104"/>
        <v>0</v>
      </c>
      <c r="AI472" s="97">
        <f t="shared" si="109"/>
        <v>0</v>
      </c>
      <c r="AJ472" s="246"/>
      <c r="AK472" s="244"/>
      <c r="AL472" s="247">
        <f t="shared" si="108"/>
        <v>0</v>
      </c>
      <c r="AM472" s="248"/>
      <c r="AN472" s="400">
        <f t="shared" si="105"/>
        <v>0</v>
      </c>
      <c r="AO472" s="212">
        <f t="shared" si="1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4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 t="shared" si="106"/>
        <v>0</v>
      </c>
      <c r="AA473" s="244"/>
      <c r="AB473" s="237"/>
      <c r="AC473" s="87"/>
      <c r="AD473" s="246"/>
      <c r="AE473" s="237"/>
      <c r="AF473" s="87">
        <f t="shared" si="107"/>
        <v>0</v>
      </c>
      <c r="AG473" s="245"/>
      <c r="AH473" s="400">
        <f t="shared" si="104"/>
        <v>0</v>
      </c>
      <c r="AI473" s="97">
        <f t="shared" si="109"/>
        <v>0</v>
      </c>
      <c r="AJ473" s="246"/>
      <c r="AK473" s="244"/>
      <c r="AL473" s="247">
        <f t="shared" si="108"/>
        <v>0</v>
      </c>
      <c r="AM473" s="248"/>
      <c r="AN473" s="400">
        <f t="shared" si="105"/>
        <v>0</v>
      </c>
      <c r="AO473" s="212">
        <f t="shared" si="10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4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 t="shared" si="106"/>
        <v>28125</v>
      </c>
      <c r="AA474" s="244"/>
      <c r="AB474" s="237"/>
      <c r="AC474" s="87"/>
      <c r="AD474" s="246"/>
      <c r="AE474" s="237"/>
      <c r="AF474" s="87">
        <f t="shared" si="107"/>
        <v>0</v>
      </c>
      <c r="AG474" s="245"/>
      <c r="AH474" s="400">
        <f t="shared" si="104"/>
        <v>-28125</v>
      </c>
      <c r="AI474" s="97">
        <f t="shared" si="109"/>
        <v>-1</v>
      </c>
      <c r="AJ474" s="246"/>
      <c r="AK474" s="244"/>
      <c r="AL474" s="247">
        <f t="shared" si="108"/>
        <v>16050</v>
      </c>
      <c r="AM474" s="248"/>
      <c r="AN474" s="400">
        <f t="shared" ref="AN474:AN483" si="110">AF474-AL474</f>
        <v>-16050</v>
      </c>
      <c r="AO474" s="212">
        <f t="shared" si="103"/>
        <v>-1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4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 t="shared" si="106"/>
        <v>10050</v>
      </c>
      <c r="AA475" s="244"/>
      <c r="AB475" s="237"/>
      <c r="AC475" s="87"/>
      <c r="AD475" s="246"/>
      <c r="AE475" s="237"/>
      <c r="AF475" s="87">
        <f t="shared" si="107"/>
        <v>0</v>
      </c>
      <c r="AG475" s="245"/>
      <c r="AH475" s="400">
        <f t="shared" si="104"/>
        <v>-10050</v>
      </c>
      <c r="AI475" s="97">
        <f t="shared" si="109"/>
        <v>-1</v>
      </c>
      <c r="AJ475" s="246"/>
      <c r="AK475" s="244"/>
      <c r="AL475" s="247">
        <f t="shared" si="108"/>
        <v>24625</v>
      </c>
      <c r="AM475" s="248"/>
      <c r="AN475" s="400">
        <f t="shared" si="110"/>
        <v>-24625</v>
      </c>
      <c r="AO475" s="212">
        <f t="shared" si="103"/>
        <v>-1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4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 t="shared" si="106"/>
        <v>0</v>
      </c>
      <c r="AA476" s="244"/>
      <c r="AB476" s="237"/>
      <c r="AC476" s="87"/>
      <c r="AD476" s="246"/>
      <c r="AE476" s="237"/>
      <c r="AF476" s="87">
        <f t="shared" si="107"/>
        <v>0</v>
      </c>
      <c r="AG476" s="245"/>
      <c r="AH476" s="400">
        <f t="shared" si="104"/>
        <v>0</v>
      </c>
      <c r="AI476" s="97">
        <f t="shared" si="109"/>
        <v>0</v>
      </c>
      <c r="AJ476" s="246"/>
      <c r="AK476" s="244"/>
      <c r="AL476" s="247">
        <f t="shared" si="108"/>
        <v>0</v>
      </c>
      <c r="AM476" s="248"/>
      <c r="AN476" s="400">
        <f t="shared" si="110"/>
        <v>0</v>
      </c>
      <c r="AO476" s="212">
        <f t="shared" si="10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4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 cm="1">
        <f t="array" ref="Z477">+SUMPRODUCT(('Budget original'!$A$8:$A$501=$A477)*('Budget original'!$C$3:$AO$3=Z$2),'Budget original'!$C$8:$AO$501)</f>
        <v>247069.43100000004</v>
      </c>
      <c r="AA477" s="244"/>
      <c r="AB477" s="237"/>
      <c r="AC477" s="87"/>
      <c r="AD477" s="246"/>
      <c r="AE477" s="237"/>
      <c r="AF477" s="87">
        <f>-SUMIFS(BV_Data_An_Cour!$P:$P,BV_Data_An_Cour!$V:$V,$V477)</f>
        <v>10164</v>
      </c>
      <c r="AG477" s="245"/>
      <c r="AH477" s="400">
        <f t="shared" si="104"/>
        <v>-236905.43100000004</v>
      </c>
      <c r="AI477" s="97">
        <f t="shared" si="109"/>
        <v>-0.95886176627006525</v>
      </c>
      <c r="AJ477" s="246"/>
      <c r="AK477" s="244"/>
      <c r="AL477" s="247" cm="1">
        <f t="array" ref="AL477">+SUMPRODUCT(('Réel 2024'!$A$8:$A$501=$A477)*('Réel 2024'!$C$3:$AO$3=Z$2),'Réel 2024'!$C$8:$AO$501)</f>
        <v>226407.91</v>
      </c>
      <c r="AM477" s="248"/>
      <c r="AN477" s="400">
        <f t="shared" si="110"/>
        <v>-216243.91</v>
      </c>
      <c r="AO477" s="212">
        <f t="shared" si="103"/>
        <v>-0.95510757552596104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4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 t="shared" ref="Z478:Z480" si="111">+SUMIF($C:$C,$V478,F:F)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104"/>
        <v>0</v>
      </c>
      <c r="AI478" s="401">
        <f t="shared" si="109"/>
        <v>0</v>
      </c>
      <c r="AJ478" s="405"/>
      <c r="AK478" s="398"/>
      <c r="AL478" s="87">
        <f t="shared" ref="AL478:AL479" si="112">+SUMIF($C:$C,$V478,Q:Q)</f>
        <v>0</v>
      </c>
      <c r="AM478" s="248"/>
      <c r="AN478" s="400">
        <f t="shared" si="110"/>
        <v>0</v>
      </c>
      <c r="AO478" s="212">
        <f t="shared" si="10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 t="shared" si="111"/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104"/>
        <v>0</v>
      </c>
      <c r="AI479" s="401">
        <f t="shared" si="109"/>
        <v>0</v>
      </c>
      <c r="AJ479" s="405"/>
      <c r="AK479" s="398"/>
      <c r="AL479" s="87">
        <f t="shared" si="112"/>
        <v>0</v>
      </c>
      <c r="AM479" s="248"/>
      <c r="AN479" s="400">
        <f t="shared" si="110"/>
        <v>0</v>
      </c>
      <c r="AO479" s="212">
        <f t="shared" si="10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4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 t="shared" si="111"/>
        <v>270528.65000000002</v>
      </c>
      <c r="AA480" s="244"/>
      <c r="AB480" s="237"/>
      <c r="AC480" s="87"/>
      <c r="AD480" s="246"/>
      <c r="AE480" s="237"/>
      <c r="AF480" s="87">
        <f>+SUMIF($C:$C,$V480,L:L)</f>
        <v>7140</v>
      </c>
      <c r="AG480" s="245"/>
      <c r="AH480" s="400">
        <f t="shared" si="104"/>
        <v>-263388.65000000002</v>
      </c>
      <c r="AI480" s="97">
        <f t="shared" si="109"/>
        <v>-0.97360723161853657</v>
      </c>
      <c r="AJ480" s="246"/>
      <c r="AK480" s="244"/>
      <c r="AL480" s="247" cm="1">
        <f t="array" ref="AL480">+SUMPRODUCT(('Réel 2024'!$A$8:$A$501=$A480)*('Réel 2024'!$C$3:$AO$3=Z$2),'Réel 2024'!$C$8:$AO$501)</f>
        <v>256445</v>
      </c>
      <c r="AM480" s="248"/>
      <c r="AN480" s="400">
        <f t="shared" si="110"/>
        <v>-249305</v>
      </c>
      <c r="AO480" s="212">
        <f t="shared" si="103"/>
        <v>-0.97215777262180969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4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0.32137858466703084</v>
      </c>
      <c r="Y481" s="103"/>
      <c r="Z481" s="90">
        <f>SUM(Z469:Z480)</f>
        <v>1461694.3280000002</v>
      </c>
      <c r="AA481" s="89"/>
      <c r="AB481" s="103"/>
      <c r="AC481" s="90"/>
      <c r="AD481" s="89">
        <f>AF481/+AF407</f>
        <v>0.34299395298379809</v>
      </c>
      <c r="AE481" s="103"/>
      <c r="AF481" s="90">
        <f>SUM(AF469:AF480)</f>
        <v>70620.149999999994</v>
      </c>
      <c r="AG481" s="99"/>
      <c r="AH481" s="93">
        <f t="shared" si="104"/>
        <v>-1391074.1780000003</v>
      </c>
      <c r="AI481" s="89">
        <f>AH481/Z481</f>
        <v>-0.95168610245848895</v>
      </c>
      <c r="AJ481" s="109"/>
      <c r="AK481" s="110"/>
      <c r="AL481" s="90">
        <f>SUM(AL469:AL480)</f>
        <v>1595522.3199999998</v>
      </c>
      <c r="AM481" s="111"/>
      <c r="AN481" s="93">
        <f t="shared" si="110"/>
        <v>-1524902.17</v>
      </c>
      <c r="AO481" s="551">
        <f t="shared" si="103"/>
        <v>-0.95573853833646161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4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10"/>
        <v>0</v>
      </c>
      <c r="AO482" s="423">
        <f t="shared" si="103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4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1.5996719649017069E-2</v>
      </c>
      <c r="Z483" s="428">
        <f>Z407-Z468+Z481</f>
        <v>761311.52854630863</v>
      </c>
      <c r="AA483" s="426"/>
      <c r="AB483" s="427"/>
      <c r="AC483" s="428"/>
      <c r="AD483" s="426" t="s">
        <v>247</v>
      </c>
      <c r="AE483" s="427">
        <f>AF483/AF406</f>
        <v>-2.128328924066791E-2</v>
      </c>
      <c r="AF483" s="215">
        <f>AF407-AF468+AF481</f>
        <v>-41925.319999999949</v>
      </c>
      <c r="AG483" s="429"/>
      <c r="AH483" s="215">
        <f>AF483-Z483</f>
        <v>-803236.84854630858</v>
      </c>
      <c r="AI483" s="745">
        <f>AH483/Z483</f>
        <v>-1.0550698609280942</v>
      </c>
      <c r="AJ483" s="430" t="s">
        <v>247</v>
      </c>
      <c r="AK483" s="427">
        <f>IF($AL$406=0,0,AL483/$AL$406)</f>
        <v>1.8737006799706572E-2</v>
      </c>
      <c r="AL483" s="215">
        <f>AL407-AL468+AL481</f>
        <v>873770.71999999555</v>
      </c>
      <c r="AM483" s="216"/>
      <c r="AN483" s="215">
        <f t="shared" si="110"/>
        <v>-915696.0399999955</v>
      </c>
      <c r="AO483" s="431">
        <f t="shared" si="103"/>
        <v>-1.0479820610148165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4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3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1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2.3986038234467457E-2</v>
      </c>
      <c r="Z488" s="1123">
        <f>Z489+Z415</f>
        <v>1141537.0046304883</v>
      </c>
      <c r="AA488" s="1120"/>
      <c r="AB488" s="1121"/>
      <c r="AC488" s="1122"/>
      <c r="AD488" s="1120" t="s">
        <v>247</v>
      </c>
      <c r="AE488" s="1121">
        <f>AF488/AF406</f>
        <v>-8.8209511739790244E-3</v>
      </c>
      <c r="AF488" s="1123">
        <f>AF489+AF415</f>
        <v>-17376.12999999995</v>
      </c>
      <c r="AG488" s="1124"/>
      <c r="AH488" s="1123">
        <f t="shared" ref="AH488" si="114">AF488-Z488</f>
        <v>-1158913.1346304882</v>
      </c>
      <c r="AI488" s="1182">
        <f>AH488/Z488</f>
        <v>-1.0152216966506702</v>
      </c>
      <c r="AJ488" s="1120" t="s">
        <v>247</v>
      </c>
      <c r="AK488" s="1121">
        <f>IF($AL$406=0,0,AL488/$AL$406)</f>
        <v>2.8358007010502621E-2</v>
      </c>
      <c r="AL488" s="1123">
        <f>AL489+AL415</f>
        <v>1322430.8699999955</v>
      </c>
      <c r="AM488" s="1125"/>
      <c r="AN488" s="1123">
        <f t="shared" ref="AN488" si="115">AF488-AL488</f>
        <v>-1339806.9999999953</v>
      </c>
      <c r="AO488" s="1126">
        <f t="shared" ref="AO488" si="116">IF(AL488=0,0,AN488/AL488)</f>
        <v>-1.0131395374943115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3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1.5996719649017069E-2</v>
      </c>
      <c r="Z489" s="436">
        <f>Z483</f>
        <v>761311.52854630863</v>
      </c>
      <c r="AA489" s="434"/>
      <c r="AB489" s="435"/>
      <c r="AC489" s="436"/>
      <c r="AD489" s="434" t="s">
        <v>247</v>
      </c>
      <c r="AE489" s="435">
        <f>AF489/AF406</f>
        <v>-2.128328924066791E-2</v>
      </c>
      <c r="AF489" s="436">
        <f>AF483</f>
        <v>-41925.319999999949</v>
      </c>
      <c r="AG489" s="437"/>
      <c r="AH489" s="215">
        <f>AF489-Z489</f>
        <v>-803236.84854630858</v>
      </c>
      <c r="AI489" s="745">
        <f>AH489/Z489</f>
        <v>-1.0550698609280942</v>
      </c>
      <c r="AJ489" s="434" t="s">
        <v>247</v>
      </c>
      <c r="AK489" s="435">
        <f>IF($AL$406=0,0,AL489/$AL$406)</f>
        <v>1.8737006799706572E-2</v>
      </c>
      <c r="AL489" s="438">
        <f>AL483</f>
        <v>873770.71999999555</v>
      </c>
      <c r="AM489" s="439"/>
      <c r="AN489" s="440">
        <f>AF489-AL489</f>
        <v>-915696.0399999955</v>
      </c>
      <c r="AO489" s="441">
        <f>IF(AL489=0,0,AN489/AL489)</f>
        <v>-1.0479820610148165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3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3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 cm="1">
        <f t="array" ref="Z491">+SUMPRODUCT(('Budget original'!$A$8:$A$501=$A491)*('Budget original'!$C$3:$AO$3=Z$2),'Budget original'!$C$8:$AO$501)</f>
        <v>231600</v>
      </c>
      <c r="AA491" s="398"/>
      <c r="AB491" s="404"/>
      <c r="AC491" s="87"/>
      <c r="AD491" s="398"/>
      <c r="AE491" s="404"/>
      <c r="AF491" s="87">
        <f>SUMIFS(BV_Data_An_Cour!$P:$P,BV_Data_An_Cour!$V:$V,$V491)</f>
        <v>3751.2499999999995</v>
      </c>
      <c r="AG491" s="398"/>
      <c r="AH491" s="400">
        <f t="shared" ref="AH491:AH498" si="117">AF491-Z491</f>
        <v>-227848.75</v>
      </c>
      <c r="AI491" s="97">
        <f t="shared" ref="AI491:AI497" si="118">IF(Z491=0,0,AH491/Z491)</f>
        <v>-0.98380289291882561</v>
      </c>
      <c r="AJ491" s="398"/>
      <c r="AK491" s="398"/>
      <c r="AL491" s="87" cm="1">
        <f t="array" ref="AL491">+SUMPRODUCT(('Réel 2024'!$A$8:$A$501=$A491)*('Réel 2024'!$C$3:$AO$3=Z$2),'Réel 2024'!$C$8:$AO$501)</f>
        <v>234320.92</v>
      </c>
      <c r="AM491" s="402"/>
      <c r="AN491" s="400">
        <f t="shared" ref="AN491:AN498" si="119">AF491-AL491</f>
        <v>-230569.67</v>
      </c>
      <c r="AO491" s="212">
        <f t="shared" ref="AO491:AO498" si="120">IF(AL491=0,0,AN491/AL491)</f>
        <v>-0.98399097272236724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113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 cm="1">
        <f t="array" ref="Z492">+SUMPRODUCT(('Budget original'!$A$8:$A$501=$A492)*('Budget original'!$C$3:$AO$3=Z$2),'Budget original'!$C$8:$AO$501)</f>
        <v>0</v>
      </c>
      <c r="AA492" s="382"/>
      <c r="AB492" s="382"/>
      <c r="AC492" s="87"/>
      <c r="AD492" s="382"/>
      <c r="AE492" s="178"/>
      <c r="AF492" s="87">
        <f>SUMIFS(BV_Data_An_Cour!$P:$P,BV_Data_An_Cour!$V:$V,$V492)</f>
        <v>0</v>
      </c>
      <c r="AG492" s="382"/>
      <c r="AH492" s="400">
        <f t="shared" si="117"/>
        <v>0</v>
      </c>
      <c r="AI492" s="97">
        <f t="shared" si="118"/>
        <v>0</v>
      </c>
      <c r="AJ492" s="382"/>
      <c r="AK492" s="382"/>
      <c r="AL492" s="87" cm="1">
        <f t="array" ref="AL492">+SUMPRODUCT(('Réel 2024'!$A$8:$A$501=$A492)*('Réel 2024'!$C$3:$AO$3=Z$2),'Réel 2024'!$C$8:$AO$501)</f>
        <v>0</v>
      </c>
      <c r="AM492" s="445"/>
      <c r="AN492" s="400">
        <f t="shared" si="119"/>
        <v>0</v>
      </c>
      <c r="AO492" s="212">
        <f t="shared" si="120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3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 cm="1">
        <f t="array" ref="Z493">+SUMPRODUCT(('Budget original'!$A$8:$A$501=$A493)*('Budget original'!$C$3:$AO$3=Z$2),'Budget original'!$C$8:$AO$501)</f>
        <v>0</v>
      </c>
      <c r="AA493" s="382"/>
      <c r="AB493" s="382"/>
      <c r="AC493" s="87"/>
      <c r="AD493" s="382"/>
      <c r="AE493" s="178"/>
      <c r="AF493" s="87">
        <f>SUMIFS(BV_Data_An_Cour!$P:$P,BV_Data_An_Cour!$V:$V,$V493)</f>
        <v>0</v>
      </c>
      <c r="AG493" s="382"/>
      <c r="AH493" s="400">
        <f t="shared" si="117"/>
        <v>0</v>
      </c>
      <c r="AI493" s="97">
        <f t="shared" si="118"/>
        <v>0</v>
      </c>
      <c r="AJ493" s="382"/>
      <c r="AK493" s="382"/>
      <c r="AL493" s="87" cm="1">
        <f t="array" ref="AL493">+SUMPRODUCT(('Réel 2024'!$A$8:$A$501=$A493)*('Réel 2024'!$C$3:$AO$3=Z$2),'Réel 2024'!$C$8:$AO$501)</f>
        <v>0</v>
      </c>
      <c r="AM493" s="445"/>
      <c r="AN493" s="400">
        <f t="shared" si="119"/>
        <v>0</v>
      </c>
      <c r="AO493" s="212">
        <f t="shared" si="12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3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 cm="1">
        <f t="array" ref="Z494">+SUMPRODUCT(('Budget original'!$A$8:$A$501=$A494)*('Budget original'!$C$3:$AO$3=Z$2),'Budget original'!$C$8:$AO$501)</f>
        <v>0</v>
      </c>
      <c r="AA494" s="382"/>
      <c r="AB494" s="382"/>
      <c r="AC494" s="87"/>
      <c r="AD494" s="382"/>
      <c r="AE494" s="178"/>
      <c r="AF494" s="87">
        <f>SUMIFS(BV_Data_An_Cour!$P:$P,BV_Data_An_Cour!$V:$V,$V494)</f>
        <v>0</v>
      </c>
      <c r="AG494" s="382"/>
      <c r="AH494" s="400">
        <f t="shared" si="117"/>
        <v>0</v>
      </c>
      <c r="AI494" s="97">
        <f t="shared" si="118"/>
        <v>0</v>
      </c>
      <c r="AJ494" s="382"/>
      <c r="AK494" s="382"/>
      <c r="AL494" s="87" cm="1">
        <f t="array" ref="AL494">+SUMPRODUCT(('Réel 2024'!$A$8:$A$501=$A494)*('Réel 2024'!$C$3:$AO$3=Z$2),'Réel 2024'!$C$8:$AO$501)</f>
        <v>0</v>
      </c>
      <c r="AM494" s="445"/>
      <c r="AN494" s="400">
        <f t="shared" si="119"/>
        <v>0</v>
      </c>
      <c r="AO494" s="212">
        <f t="shared" si="12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3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 cm="1">
        <f t="array" ref="Z495">+SUMPRODUCT(('Budget original'!$A$8:$A$501=$A495)*('Budget original'!$C$3:$AO$3=Z$2),'Budget original'!$C$8:$AO$501)</f>
        <v>0</v>
      </c>
      <c r="AA495" s="398"/>
      <c r="AB495" s="398"/>
      <c r="AC495" s="400"/>
      <c r="AD495" s="405"/>
      <c r="AE495" s="404"/>
      <c r="AF495" s="87">
        <f>SUMIFS(BV_Data_An_Cour!$P:$P,BV_Data_An_Cour!$V:$V,$V495)</f>
        <v>0</v>
      </c>
      <c r="AG495" s="399"/>
      <c r="AH495" s="400">
        <f t="shared" si="117"/>
        <v>0</v>
      </c>
      <c r="AI495" s="401">
        <f t="shared" si="118"/>
        <v>0</v>
      </c>
      <c r="AJ495" s="405"/>
      <c r="AK495" s="398"/>
      <c r="AL495" s="87" cm="1">
        <f t="array" ref="AL495">+SUMPRODUCT(('Réel 2024'!$A$8:$A$501=$A495)*('Réel 2024'!$C$3:$AO$3=Z$2),'Réel 2024'!$C$8:$AO$501)</f>
        <v>0</v>
      </c>
      <c r="AM495" s="445"/>
      <c r="AN495" s="400">
        <f t="shared" si="119"/>
        <v>0</v>
      </c>
      <c r="AO495" s="212">
        <f t="shared" si="12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3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2814</v>
      </c>
      <c r="W496" s="178"/>
      <c r="X496" s="178"/>
      <c r="Y496" s="178"/>
      <c r="Z496" s="400" cm="1">
        <f t="array" ref="Z496">+SUMPRODUCT(('Budget original'!$A$8:$A$501=$A496)*('Budget original'!$C$3:$AO$3=Z$2),'Budget original'!$C$8:$AO$501)</f>
        <v>-31080</v>
      </c>
      <c r="AA496" s="398"/>
      <c r="AB496" s="398"/>
      <c r="AC496" s="400"/>
      <c r="AD496" s="405"/>
      <c r="AE496" s="404"/>
      <c r="AF496" s="87">
        <f>SUMIFS(BV_Data_An_Cour!$P:$P,BV_Data_An_Cour!$V:$V,$V496)</f>
        <v>-3031.47</v>
      </c>
      <c r="AG496" s="399"/>
      <c r="AH496" s="400">
        <f t="shared" si="117"/>
        <v>28048.53</v>
      </c>
      <c r="AI496" s="401">
        <f t="shared" si="118"/>
        <v>-0.90246235521235518</v>
      </c>
      <c r="AJ496" s="405"/>
      <c r="AK496" s="398"/>
      <c r="AL496" s="87" cm="1">
        <f t="array" ref="AL496">+SUMPRODUCT(('Réel 2024'!$A$8:$A$501=$A496)*('Réel 2024'!$C$3:$AO$3=Z$2),'Réel 2024'!$C$8:$AO$501)</f>
        <v>-69462.67</v>
      </c>
      <c r="AM496" s="445"/>
      <c r="AN496" s="400">
        <f t="shared" si="119"/>
        <v>66431.199999999997</v>
      </c>
      <c r="AO496" s="212">
        <f t="shared" si="120"/>
        <v>-0.95635828568063963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3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 t="array" ref="Z497">+INDEX('Budget original'!$A$2:$AO$501,MATCH($A497,'Budget original'!$A$2:$A$501,0),MATCH(F$2,'Budget original'!$A$2:$AO$2,0))</f>
        <v>0</v>
      </c>
      <c r="AA497" s="398"/>
      <c r="AB497" s="398"/>
      <c r="AC497" s="400"/>
      <c r="AD497" s="405"/>
      <c r="AE497" s="404"/>
      <c r="AF497" s="87">
        <f>SUMIFS(BV_Data_An_Cour!$P:$P,BV_Data_An_Cour!$V:$V,$V497)</f>
        <v>0</v>
      </c>
      <c r="AG497" s="399"/>
      <c r="AH497" s="400">
        <f t="shared" si="117"/>
        <v>0</v>
      </c>
      <c r="AI497" s="401">
        <f t="shared" si="118"/>
        <v>0</v>
      </c>
      <c r="AJ497" s="405"/>
      <c r="AK497" s="398"/>
      <c r="AL497" s="87" cm="1">
        <f t="array" ref="AL497">+SUMPRODUCT(('Réel 2024'!$A$8:$A$501=$A497)*('Réel 2024'!$C$3:$AO$3=Z$2),'Réel 2024'!$C$8:$AO$501)</f>
        <v>0</v>
      </c>
      <c r="AM497" s="445"/>
      <c r="AN497" s="400">
        <f t="shared" si="119"/>
        <v>0</v>
      </c>
      <c r="AO497" s="212">
        <f t="shared" si="120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3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1.178338239646581E-2</v>
      </c>
      <c r="Z498" s="428">
        <f>Z489-Z491-Z492-Z493-Z497-Z496-Z494-Z495</f>
        <v>560791.52854630863</v>
      </c>
      <c r="AA498" s="426"/>
      <c r="AB498" s="427"/>
      <c r="AC498" s="428"/>
      <c r="AD498" s="426" t="s">
        <v>247</v>
      </c>
      <c r="AE498" s="427">
        <f>AF498/AF406</f>
        <v>-2.1648683850169947E-2</v>
      </c>
      <c r="AF498" s="215">
        <f>AF489-AF491-AF492-AF493-AF497-AF496-AF494-AF495</f>
        <v>-42645.099999999948</v>
      </c>
      <c r="AG498" s="429"/>
      <c r="AH498" s="215">
        <f t="shared" si="117"/>
        <v>-603436.62854630861</v>
      </c>
      <c r="AI498" s="745">
        <f>AH498/Z498</f>
        <v>-1.0760444796848931</v>
      </c>
      <c r="AJ498" s="430" t="s">
        <v>247</v>
      </c>
      <c r="AK498" s="427">
        <f>IF($AL$406=0,0,AL498/$AL$406)</f>
        <v>1.5201811489845719E-2</v>
      </c>
      <c r="AL498" s="215">
        <f>AL489-AL491-AL492-AL493-AL497-AL496-AL494-AL495</f>
        <v>708912.46999999555</v>
      </c>
      <c r="AM498" s="216"/>
      <c r="AN498" s="215">
        <f t="shared" si="119"/>
        <v>-751557.56999999552</v>
      </c>
      <c r="AO498" s="446">
        <f t="shared" si="120"/>
        <v>-1.0601556635052565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2417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2418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-42645.099999999948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AF498/Z498</f>
        <v>-7.6044479684893154E-2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11">
        <f>AF500/AF498</f>
        <v>0</v>
      </c>
      <c r="AG508" s="79"/>
      <c r="AH508" s="711">
        <f>AF498/Z498</f>
        <v>-7.6044479684893154E-2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28" priority="8" stopIfTrue="1">
      <formula>"esterreur(reference)"</formula>
    </cfRule>
  </conditionalFormatting>
  <conditionalFormatting sqref="D112:D113">
    <cfRule type="expression" dxfId="227" priority="3" stopIfTrue="1">
      <formula>"esterreur(reference)"</formula>
    </cfRule>
  </conditionalFormatting>
  <conditionalFormatting sqref="D292">
    <cfRule type="expression" dxfId="226" priority="2" stopIfTrue="1">
      <formula>"esterreur(reference)"</formula>
    </cfRule>
  </conditionalFormatting>
  <conditionalFormatting sqref="F5">
    <cfRule type="expression" dxfId="225" priority="69" stopIfTrue="1">
      <formula>"esterreur(reference)"</formula>
    </cfRule>
  </conditionalFormatting>
  <conditionalFormatting sqref="F184">
    <cfRule type="expression" dxfId="224" priority="79" stopIfTrue="1">
      <formula>"esterreur(reference)"</formula>
    </cfRule>
  </conditionalFormatting>
  <conditionalFormatting sqref="G31:G32">
    <cfRule type="expression" dxfId="223" priority="7" stopIfTrue="1">
      <formula>"esterreur(reference)"</formula>
    </cfRule>
  </conditionalFormatting>
  <conditionalFormatting sqref="G112:G113">
    <cfRule type="expression" dxfId="222" priority="4" stopIfTrue="1">
      <formula>"esterreur(reference)"</formula>
    </cfRule>
  </conditionalFormatting>
  <conditionalFormatting sqref="H136:H152">
    <cfRule type="expression" dxfId="221" priority="33" stopIfTrue="1">
      <formula>"esterreur(reference)"</formula>
    </cfRule>
  </conditionalFormatting>
  <conditionalFormatting sqref="H360">
    <cfRule type="expression" dxfId="220" priority="112" stopIfTrue="1">
      <formula>"esterreur(reference)"</formula>
    </cfRule>
  </conditionalFormatting>
  <conditionalFormatting sqref="H197:L197">
    <cfRule type="expression" dxfId="219" priority="114" stopIfTrue="1">
      <formula>"esterreur(reference)"</formula>
    </cfRule>
  </conditionalFormatting>
  <conditionalFormatting sqref="H396:L399">
    <cfRule type="expression" dxfId="218" priority="110" stopIfTrue="1">
      <formula>"esterreur(reference)"</formula>
    </cfRule>
  </conditionalFormatting>
  <conditionalFormatting sqref="I377:L377 H378:H395">
    <cfRule type="expression" dxfId="217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6" priority="104" stopIfTrue="1">
      <formula>"esterreur(reference)"</formula>
    </cfRule>
  </conditionalFormatting>
  <conditionalFormatting sqref="J55:K71">
    <cfRule type="expression" dxfId="215" priority="115" stopIfTrue="1">
      <formula>"esterreur(reference)"</formula>
    </cfRule>
  </conditionalFormatting>
  <conditionalFormatting sqref="J102:L104">
    <cfRule type="expression" dxfId="214" priority="100" stopIfTrue="1">
      <formula>"esterreur(reference)"</formula>
    </cfRule>
  </conditionalFormatting>
  <conditionalFormatting sqref="J149:L152">
    <cfRule type="expression" dxfId="213" priority="32" stopIfTrue="1">
      <formula>"esterreur(reference)"</formula>
    </cfRule>
  </conditionalFormatting>
  <conditionalFormatting sqref="J295:L303">
    <cfRule type="expression" dxfId="212" priority="96" stopIfTrue="1">
      <formula>"esterreur(reference)"</formula>
    </cfRule>
  </conditionalFormatting>
  <conditionalFormatting sqref="J307:L308">
    <cfRule type="expression" dxfId="211" priority="86" stopIfTrue="1">
      <formula>"esterreur(reference)"</formula>
    </cfRule>
  </conditionalFormatting>
  <conditionalFormatting sqref="J360:L360">
    <cfRule type="expression" dxfId="210" priority="78" stopIfTrue="1">
      <formula>"esterreur(reference)"</formula>
    </cfRule>
  </conditionalFormatting>
  <conditionalFormatting sqref="J365:L376">
    <cfRule type="expression" dxfId="209" priority="83" stopIfTrue="1">
      <formula>"esterreur(reference)"</formula>
    </cfRule>
  </conditionalFormatting>
  <conditionalFormatting sqref="J378:L394">
    <cfRule type="expression" dxfId="208" priority="82" stopIfTrue="1">
      <formula>"esterreur(reference)"</formula>
    </cfRule>
  </conditionalFormatting>
  <conditionalFormatting sqref="J312:M312">
    <cfRule type="expression" dxfId="207" priority="84" stopIfTrue="1">
      <formula>"esterreur(reference)"</formula>
    </cfRule>
  </conditionalFormatting>
  <conditionalFormatting sqref="J112:Q121">
    <cfRule type="expression" dxfId="206" priority="5" stopIfTrue="1">
      <formula>"esterreur(reference)"</formula>
    </cfRule>
  </conditionalFormatting>
  <conditionalFormatting sqref="J123:Q134">
    <cfRule type="expression" dxfId="205" priority="59" stopIfTrue="1">
      <formula>"esterreur(reference)"</formula>
    </cfRule>
  </conditionalFormatting>
  <conditionalFormatting sqref="K5">
    <cfRule type="expression" dxfId="204" priority="93" stopIfTrue="1">
      <formula>"esterreur(reference)"</formula>
    </cfRule>
  </conditionalFormatting>
  <conditionalFormatting sqref="K175">
    <cfRule type="expression" dxfId="203" priority="90" stopIfTrue="1">
      <formula>"esterreur(reference)"</formula>
    </cfRule>
  </conditionalFormatting>
  <conditionalFormatting sqref="K183:K184">
    <cfRule type="expression" dxfId="202" priority="92" stopIfTrue="1">
      <formula>"esterreur(reference)"</formula>
    </cfRule>
  </conditionalFormatting>
  <conditionalFormatting sqref="K287">
    <cfRule type="expression" dxfId="201" priority="76" stopIfTrue="1">
      <formula>"esterreur(reference)"</formula>
    </cfRule>
  </conditionalFormatting>
  <conditionalFormatting sqref="K395">
    <cfRule type="expression" dxfId="200" priority="113" stopIfTrue="1">
      <formula>"esterreur(reference)"</formula>
    </cfRule>
  </conditionalFormatting>
  <conditionalFormatting sqref="K93:L96">
    <cfRule type="expression" dxfId="199" priority="81" stopIfTrue="1">
      <formula>"esterreur(reference)"</formula>
    </cfRule>
  </conditionalFormatting>
  <conditionalFormatting sqref="K99:L100">
    <cfRule type="expression" dxfId="198" priority="101" stopIfTrue="1">
      <formula>"esterreur(reference)"</formula>
    </cfRule>
  </conditionalFormatting>
  <conditionalFormatting sqref="K171:L173">
    <cfRule type="expression" dxfId="197" priority="91" stopIfTrue="1">
      <formula>"esterreur(reference)"</formula>
    </cfRule>
  </conditionalFormatting>
  <conditionalFormatting sqref="K176:L182">
    <cfRule type="expression" dxfId="196" priority="89" stopIfTrue="1">
      <formula>"esterreur(reference)"</formula>
    </cfRule>
  </conditionalFormatting>
  <conditionalFormatting sqref="K185:L196">
    <cfRule type="expression" dxfId="195" priority="85" stopIfTrue="1">
      <formula>"esterreur(reference)"</formula>
    </cfRule>
  </conditionalFormatting>
  <conditionalFormatting sqref="K239:L241">
    <cfRule type="expression" dxfId="194" priority="80" stopIfTrue="1">
      <formula>"esterreur(reference)"</formula>
    </cfRule>
  </conditionalFormatting>
  <conditionalFormatting sqref="K244:L244">
    <cfRule type="expression" dxfId="193" priority="88" stopIfTrue="1">
      <formula>"esterreur(reference)"</formula>
    </cfRule>
  </conditionalFormatting>
  <conditionalFormatting sqref="K247:L247">
    <cfRule type="expression" dxfId="192" priority="87" stopIfTrue="1">
      <formula>"esterreur(reference)"</formula>
    </cfRule>
  </conditionalFormatting>
  <conditionalFormatting sqref="L16:L24">
    <cfRule type="expression" dxfId="191" priority="103" stopIfTrue="1">
      <formula>"esterreur(reference)"</formula>
    </cfRule>
  </conditionalFormatting>
  <conditionalFormatting sqref="L42:L48">
    <cfRule type="expression" dxfId="190" priority="102" stopIfTrue="1">
      <formula>"esterreur(reference)"</formula>
    </cfRule>
  </conditionalFormatting>
  <conditionalFormatting sqref="L55:L66">
    <cfRule type="expression" dxfId="189" priority="70" stopIfTrue="1">
      <formula>"esterreur(reference)"</formula>
    </cfRule>
  </conditionalFormatting>
  <conditionalFormatting sqref="L69:L71">
    <cfRule type="expression" dxfId="188" priority="34" stopIfTrue="1">
      <formula>"esterreur(reference)"</formula>
    </cfRule>
  </conditionalFormatting>
  <conditionalFormatting sqref="L75:L82">
    <cfRule type="expression" dxfId="187" priority="71" stopIfTrue="1">
      <formula>"esterreur(reference)"</formula>
    </cfRule>
  </conditionalFormatting>
  <conditionalFormatting sqref="L136:L147">
    <cfRule type="expression" dxfId="186" priority="75" stopIfTrue="1">
      <formula>"esterreur(reference)"</formula>
    </cfRule>
  </conditionalFormatting>
  <conditionalFormatting sqref="L174:L175">
    <cfRule type="expression" dxfId="185" priority="99" stopIfTrue="1">
      <formula>"esterreur(reference)"</formula>
    </cfRule>
  </conditionalFormatting>
  <conditionalFormatting sqref="L198:L209">
    <cfRule type="expression" dxfId="184" priority="98" stopIfTrue="1">
      <formula>"esterreur(reference)"</formula>
    </cfRule>
  </conditionalFormatting>
  <conditionalFormatting sqref="L211:L228">
    <cfRule type="expression" dxfId="183" priority="74" stopIfTrue="1">
      <formula>"esterreur(reference)"</formula>
    </cfRule>
  </conditionalFormatting>
  <conditionalFormatting sqref="L254:L265">
    <cfRule type="expression" dxfId="182" priority="97" stopIfTrue="1">
      <formula>"esterreur(reference)"</formula>
    </cfRule>
  </conditionalFormatting>
  <conditionalFormatting sqref="L267:L284">
    <cfRule type="expression" dxfId="181" priority="73" stopIfTrue="1">
      <formula>"esterreur(reference)"</formula>
    </cfRule>
  </conditionalFormatting>
  <conditionalFormatting sqref="L318:L329">
    <cfRule type="expression" dxfId="180" priority="95" stopIfTrue="1">
      <formula>"esterreur(reference)"</formula>
    </cfRule>
  </conditionalFormatting>
  <conditionalFormatting sqref="L331">
    <cfRule type="expression" dxfId="179" priority="72" stopIfTrue="1">
      <formula>"esterreur(reference)"</formula>
    </cfRule>
  </conditionalFormatting>
  <conditionalFormatting sqref="L334:L343 L345:L348">
    <cfRule type="expression" dxfId="178" priority="94" stopIfTrue="1">
      <formula>"esterreur(reference)"</formula>
    </cfRule>
  </conditionalFormatting>
  <conditionalFormatting sqref="L356:L357 H357:I357 K357 J357:J358 H359:L359">
    <cfRule type="expression" dxfId="177" priority="109" stopIfTrue="1">
      <formula>"esterreur(reference)"</formula>
    </cfRule>
  </conditionalFormatting>
  <conditionalFormatting sqref="L5:Q14">
    <cfRule type="expression" dxfId="176" priority="64" stopIfTrue="1">
      <formula>"esterreur(reference)"</formula>
    </cfRule>
  </conditionalFormatting>
  <conditionalFormatting sqref="L156:Q162">
    <cfRule type="expression" dxfId="175" priority="30" stopIfTrue="1">
      <formula>"esterreur(reference)"</formula>
    </cfRule>
  </conditionalFormatting>
  <conditionalFormatting sqref="M95:M97">
    <cfRule type="expression" dxfId="174" priority="105" stopIfTrue="1">
      <formula>"esterreur(reference)"</formula>
    </cfRule>
  </conditionalFormatting>
  <conditionalFormatting sqref="O13:O14 O16 O18:O24 O83:Q85">
    <cfRule type="expression" dxfId="173" priority="68" stopIfTrue="1">
      <formula>"esterreur(reference)"</formula>
    </cfRule>
  </conditionalFormatting>
  <conditionalFormatting sqref="O172:O196 Q183 O198:P229 O232:Q232 O233:P233">
    <cfRule type="expression" dxfId="172" priority="57" stopIfTrue="1">
      <formula>"esterreur(reference)"</formula>
    </cfRule>
  </conditionalFormatting>
  <conditionalFormatting sqref="O292">
    <cfRule type="expression" dxfId="171" priority="1" stopIfTrue="1">
      <formula>"esterreur(reference)"</formula>
    </cfRule>
  </conditionalFormatting>
  <conditionalFormatting sqref="O318:P348 O349:Q349 O352:Q352 O353:P353">
    <cfRule type="expression" dxfId="170" priority="41" stopIfTrue="1">
      <formula>"esterreur(reference)"</formula>
    </cfRule>
  </conditionalFormatting>
  <conditionalFormatting sqref="O25:Q72">
    <cfRule type="expression" dxfId="169" priority="6" stopIfTrue="1">
      <formula>"esterreur(reference)"</formula>
    </cfRule>
  </conditionalFormatting>
  <conditionalFormatting sqref="O97:Q98 O122:Q122 O156:P157 O164:Q164 O165:P165">
    <cfRule type="expression" dxfId="168" priority="63" stopIfTrue="1">
      <formula>"esterreur(reference)"</formula>
    </cfRule>
  </conditionalFormatting>
  <conditionalFormatting sqref="O101:Q111">
    <cfRule type="expression" dxfId="167" priority="61" stopIfTrue="1">
      <formula>"esterreur(reference)"</formula>
    </cfRule>
  </conditionalFormatting>
  <conditionalFormatting sqref="O135:Q153">
    <cfRule type="expression" dxfId="166" priority="31" stopIfTrue="1">
      <formula>"esterreur(reference)"</formula>
    </cfRule>
  </conditionalFormatting>
  <conditionalFormatting sqref="O197:Q197">
    <cfRule type="expression" dxfId="165" priority="58" stopIfTrue="1">
      <formula>"esterreur(reference)"</formula>
    </cfRule>
  </conditionalFormatting>
  <conditionalFormatting sqref="O243:Q243 O252:Q253 O254:P284 O285:Q285 O288:Q288 O289:P289">
    <cfRule type="expression" dxfId="164" priority="48" stopIfTrue="1">
      <formula>"esterreur(reference)"</formula>
    </cfRule>
  </conditionalFormatting>
  <conditionalFormatting sqref="O295:Q317">
    <cfRule type="expression" dxfId="163" priority="39" stopIfTrue="1">
      <formula>"esterreur(reference)"</formula>
    </cfRule>
  </conditionalFormatting>
  <conditionalFormatting sqref="O359:Q394">
    <cfRule type="expression" dxfId="162" priority="35" stopIfTrue="1">
      <formula>"esterreur(reference)"</formula>
    </cfRule>
  </conditionalFormatting>
  <conditionalFormatting sqref="O396:Q399">
    <cfRule type="expression" dxfId="161" priority="36" stopIfTrue="1">
      <formula>"esterreur(reference)"</formula>
    </cfRule>
  </conditionalFormatting>
  <conditionalFormatting sqref="P5">
    <cfRule type="expression" dxfId="160" priority="65" stopIfTrue="1">
      <formula>"esterreur(reference)"</formula>
    </cfRule>
  </conditionalFormatting>
  <conditionalFormatting sqref="P175">
    <cfRule type="expression" dxfId="159" priority="52" stopIfTrue="1">
      <formula>"esterreur(reference)"</formula>
    </cfRule>
  </conditionalFormatting>
  <conditionalFormatting sqref="P183:P184">
    <cfRule type="expression" dxfId="158" priority="54" stopIfTrue="1">
      <formula>"esterreur(reference)"</formula>
    </cfRule>
  </conditionalFormatting>
  <conditionalFormatting sqref="P287">
    <cfRule type="expression" dxfId="157" priority="43" stopIfTrue="1">
      <formula>"esterreur(reference)"</formula>
    </cfRule>
  </conditionalFormatting>
  <conditionalFormatting sqref="P395">
    <cfRule type="expression" dxfId="156" priority="37" stopIfTrue="1">
      <formula>"esterreur(reference)"</formula>
    </cfRule>
  </conditionalFormatting>
  <conditionalFormatting sqref="P93:Q96">
    <cfRule type="expression" dxfId="155" priority="60" stopIfTrue="1">
      <formula>"esterreur(reference)"</formula>
    </cfRule>
  </conditionalFormatting>
  <conditionalFormatting sqref="P99:Q100">
    <cfRule type="expression" dxfId="154" priority="62" stopIfTrue="1">
      <formula>"esterreur(reference)"</formula>
    </cfRule>
  </conditionalFormatting>
  <conditionalFormatting sqref="P172:Q173">
    <cfRule type="expression" dxfId="153" priority="53" stopIfTrue="1">
      <formula>"esterreur(reference)"</formula>
    </cfRule>
  </conditionalFormatting>
  <conditionalFormatting sqref="P176:Q182">
    <cfRule type="expression" dxfId="152" priority="51" stopIfTrue="1">
      <formula>"esterreur(reference)"</formula>
    </cfRule>
  </conditionalFormatting>
  <conditionalFormatting sqref="P185:Q196">
    <cfRule type="expression" dxfId="151" priority="50" stopIfTrue="1">
      <formula>"esterreur(reference)"</formula>
    </cfRule>
  </conditionalFormatting>
  <conditionalFormatting sqref="P241:Q241">
    <cfRule type="expression" dxfId="150" priority="44" stopIfTrue="1">
      <formula>"esterreur(reference)"</formula>
    </cfRule>
  </conditionalFormatting>
  <conditionalFormatting sqref="P244:Q244">
    <cfRule type="expression" dxfId="149" priority="46" stopIfTrue="1">
      <formula>"esterreur(reference)"</formula>
    </cfRule>
  </conditionalFormatting>
  <conditionalFormatting sqref="P247:Q247">
    <cfRule type="expression" dxfId="148" priority="45" stopIfTrue="1">
      <formula>"esterreur(reference)"</formula>
    </cfRule>
  </conditionalFormatting>
  <conditionalFormatting sqref="Q16:Q24">
    <cfRule type="expression" dxfId="147" priority="67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4:Q175">
    <cfRule type="expression" dxfId="145" priority="56" stopIfTrue="1">
      <formula>"esterreur(reference)"</formula>
    </cfRule>
  </conditionalFormatting>
  <conditionalFormatting sqref="Q198:Q209">
    <cfRule type="expression" dxfId="144" priority="55" stopIfTrue="1">
      <formula>"esterreur(reference)"</formula>
    </cfRule>
  </conditionalFormatting>
  <conditionalFormatting sqref="Q211:Q228">
    <cfRule type="expression" dxfId="143" priority="49" stopIfTrue="1">
      <formula>"esterreur(reference)"</formula>
    </cfRule>
  </conditionalFormatting>
  <conditionalFormatting sqref="Q254:Q265">
    <cfRule type="expression" dxfId="142" priority="47" stopIfTrue="1">
      <formula>"esterreur(reference)"</formula>
    </cfRule>
  </conditionalFormatting>
  <conditionalFormatting sqref="Q267:Q284">
    <cfRule type="expression" dxfId="141" priority="42" stopIfTrue="1">
      <formula>"esterreur(reference)"</formula>
    </cfRule>
  </conditionalFormatting>
  <conditionalFormatting sqref="Q318:Q329">
    <cfRule type="expression" dxfId="140" priority="40" stopIfTrue="1">
      <formula>"esterreur(reference)"</formula>
    </cfRule>
  </conditionalFormatting>
  <conditionalFormatting sqref="Q331:Q348">
    <cfRule type="expression" dxfId="139" priority="38" stopIfTrue="1">
      <formula>"esterreur(reference)"</formula>
    </cfRule>
  </conditionalFormatting>
  <conditionalFormatting sqref="R312">
    <cfRule type="expression" dxfId="138" priority="106" stopIfTrue="1">
      <formula>"esterreur(reference)"</formula>
    </cfRule>
  </conditionalFormatting>
  <conditionalFormatting sqref="S186">
    <cfRule type="expression" dxfId="137" priority="77" stopIfTrue="1">
      <formula>"esterreur(reference)"</formula>
    </cfRule>
  </conditionalFormatting>
  <conditionalFormatting sqref="Z425:Z427">
    <cfRule type="cellIs" dxfId="136" priority="26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2" operator="greaterThan">
      <formula>0</formula>
    </cfRule>
  </conditionalFormatting>
  <conditionalFormatting sqref="Z495:Z497">
    <cfRule type="cellIs" dxfId="131" priority="9" operator="greaterThan">
      <formula>0</formula>
    </cfRule>
  </conditionalFormatting>
  <conditionalFormatting sqref="AC425:AC427">
    <cfRule type="cellIs" dxfId="130" priority="27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3" operator="greaterThan">
      <formula>0</formula>
    </cfRule>
  </conditionalFormatting>
  <conditionalFormatting sqref="AC495:AC497">
    <cfRule type="cellIs" dxfId="125" priority="10" operator="greaterThan">
      <formula>0</formula>
    </cfRule>
  </conditionalFormatting>
  <conditionalFormatting sqref="AG409:AI418">
    <cfRule type="cellIs" dxfId="124" priority="29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107" operator="greaterThan">
      <formula>0</formula>
    </cfRule>
  </conditionalFormatting>
  <conditionalFormatting sqref="AH469:AI477 AH480:AI480">
    <cfRule type="cellIs" dxfId="119" priority="108" operator="lessThan">
      <formula>0</formula>
    </cfRule>
  </conditionalFormatting>
  <conditionalFormatting sqref="AH478:AI479">
    <cfRule type="cellIs" dxfId="118" priority="14" operator="greaterThan">
      <formula>0</formula>
    </cfRule>
  </conditionalFormatting>
  <conditionalFormatting sqref="AH491:AI497">
    <cfRule type="cellIs" dxfId="117" priority="11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>
    <tabColor rgb="FF00B050"/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31" sqref="A31"/>
    </sheetView>
  </sheetViews>
  <sheetFormatPr baseColWidth="10" defaultColWidth="12.625" defaultRowHeight="15" customHeight="1"/>
  <cols>
    <col min="1" max="1" width="29.25" style="599" customWidth="1"/>
    <col min="2" max="2" width="31.25" style="599" customWidth="1"/>
    <col min="3" max="3" width="14.625" style="599" customWidth="1"/>
    <col min="4" max="11" width="12.875" style="599" customWidth="1"/>
    <col min="12" max="12" width="12.875" customWidth="1"/>
    <col min="13" max="13" width="39.75" customWidth="1"/>
    <col min="14" max="14" width="14.875" customWidth="1"/>
    <col min="15" max="15" width="12.875" style="500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218" t="s">
        <v>2538</v>
      </c>
      <c r="B2" s="708" t="s">
        <v>2539</v>
      </c>
      <c r="C2" s="710"/>
      <c r="D2" s="710"/>
      <c r="E2" s="710"/>
      <c r="F2" s="708" t="s">
        <v>1</v>
      </c>
      <c r="G2" s="708" t="s">
        <v>2447</v>
      </c>
      <c r="H2" s="664" t="s">
        <v>3000</v>
      </c>
      <c r="I2" s="664">
        <v>0</v>
      </c>
      <c r="J2" s="664">
        <v>0.04</v>
      </c>
      <c r="K2" s="664">
        <v>0.04</v>
      </c>
      <c r="L2" s="149" t="str">
        <f t="shared" ref="L2:L65" si="0">+B2</f>
        <v>121B</v>
      </c>
      <c r="M2" s="150" t="str">
        <f t="shared" ref="M2:M65" si="1">+A2</f>
        <v>DEC. NB VENTE NEUF BMW AUTO</v>
      </c>
      <c r="N2" s="151">
        <f>+IF(OR($Q2=Parametres!$G$2,$Q2=Parametres!$G$3),I2,C2)</f>
        <v>0</v>
      </c>
      <c r="O2" s="497">
        <f>+IF(OR($Q2=Parametres!$G$2,$Q2=Parametres!$G$3),J2,D2)</f>
        <v>0.04</v>
      </c>
      <c r="P2" s="151">
        <f>+IF(OR($Q2=Parametres!$G$2,$Q2=Parametres!$G$3),K2,E2)</f>
        <v>0.04</v>
      </c>
      <c r="Q2" s="150" t="str">
        <f t="shared" ref="Q2:Q65" si="2">+F2</f>
        <v>1-Mémo</v>
      </c>
      <c r="R2" s="149" t="str">
        <f t="shared" ref="R2:R65" si="3">+G2</f>
        <v>120</v>
      </c>
      <c r="S2" s="150" t="str">
        <f t="shared" ref="S2:S65" si="4">+H2</f>
        <v>_</v>
      </c>
      <c r="T2" s="152" t="e">
        <f>+VLOOKUP($L2,Data_Validation!$A:$D,1,0)</f>
        <v>#N/A</v>
      </c>
      <c r="U2" s="152" t="e">
        <f>+VLOOKUP($L2,Data_Validation!$A:$D,3,0)</f>
        <v>#N/A</v>
      </c>
      <c r="V2" s="152" t="e">
        <f>+VLOOKUP($L2,Data_Validation!$A:$D,4,0)</f>
        <v>#N/A</v>
      </c>
      <c r="W2" s="152" t="e">
        <f>+VLOOKUP($L2,Data_Validation!$A:$E,5,0)</f>
        <v>#N/A</v>
      </c>
      <c r="X2" s="152" t="e">
        <f>+VLOOKUP($L2,Data_Validation!$A:$F,6,0)</f>
        <v>#N/A</v>
      </c>
    </row>
    <row r="3" spans="1:24" ht="15" customHeight="1">
      <c r="A3" s="708" t="s">
        <v>2540</v>
      </c>
      <c r="B3" s="708" t="s">
        <v>2541</v>
      </c>
      <c r="C3" s="710"/>
      <c r="D3" s="710"/>
      <c r="E3" s="710"/>
      <c r="F3" s="708" t="s">
        <v>1</v>
      </c>
      <c r="G3" s="708" t="s">
        <v>2449</v>
      </c>
      <c r="H3" s="664" t="s">
        <v>3000</v>
      </c>
      <c r="I3" s="663">
        <v>0</v>
      </c>
      <c r="J3" s="663">
        <v>0.08</v>
      </c>
      <c r="K3" s="663">
        <v>0.08</v>
      </c>
      <c r="L3" s="149" t="str">
        <f t="shared" si="0"/>
        <v>121Z</v>
      </c>
      <c r="M3" s="150" t="str">
        <f t="shared" si="1"/>
        <v>DEC. NB VENTE NEUF BMW CAMION</v>
      </c>
      <c r="N3" s="151">
        <f>+IF(OR($Q3=Parametres!$G$2,$Q3=Parametres!$G$3),I3,C3)</f>
        <v>0</v>
      </c>
      <c r="O3" s="151">
        <f>+IF(OR($Q3=Parametres!$G$2,$Q3=Parametres!$G$3),J3,D3)</f>
        <v>0.08</v>
      </c>
      <c r="P3" s="151">
        <f>+IF(OR($Q3=Parametres!$G$2,$Q3=Parametres!$G$3),K3,E3)</f>
        <v>0.08</v>
      </c>
      <c r="Q3" s="150" t="str">
        <f t="shared" si="2"/>
        <v>1-Mémo</v>
      </c>
      <c r="R3" s="149" t="str">
        <f t="shared" si="3"/>
        <v>126</v>
      </c>
      <c r="S3" s="150" t="str">
        <f t="shared" si="4"/>
        <v>_</v>
      </c>
      <c r="T3" s="152" t="e">
        <f>+VLOOKUP($L3,Data_Validation!$A:$D,1,0)</f>
        <v>#N/A</v>
      </c>
      <c r="U3" s="152" t="e">
        <f>+VLOOKUP($L3,Data_Validation!$A:$D,3,0)</f>
        <v>#N/A</v>
      </c>
      <c r="V3" s="152" t="e">
        <f>+VLOOKUP($L3,Data_Validation!$A:$D,4,0)</f>
        <v>#N/A</v>
      </c>
      <c r="W3" s="152" t="e">
        <f>+VLOOKUP($L3,Data_Validation!$A:$E,5,0)</f>
        <v>#N/A</v>
      </c>
      <c r="X3" s="152" t="e">
        <f>+VLOOKUP($L3,Data_Validation!$A:$F,6,0)</f>
        <v>#N/A</v>
      </c>
    </row>
    <row r="4" spans="1:24" ht="15" customHeight="1">
      <c r="A4" s="708" t="s">
        <v>2544</v>
      </c>
      <c r="B4" s="708" t="s">
        <v>2545</v>
      </c>
      <c r="C4" s="710"/>
      <c r="D4" s="710"/>
      <c r="E4" s="710"/>
      <c r="F4" s="708" t="s">
        <v>1</v>
      </c>
      <c r="G4" s="708" t="s">
        <v>2448</v>
      </c>
      <c r="H4" s="664" t="s">
        <v>3000</v>
      </c>
      <c r="I4" s="664">
        <v>0</v>
      </c>
      <c r="J4" s="664">
        <v>0.05</v>
      </c>
      <c r="K4" s="664">
        <v>0.05</v>
      </c>
      <c r="L4" s="149" t="str">
        <f t="shared" si="0"/>
        <v>125B</v>
      </c>
      <c r="M4" s="150" t="str">
        <f t="shared" si="1"/>
        <v>DEC. NB VENTE USAGE DETAIL</v>
      </c>
      <c r="N4" s="151">
        <f>+IF(OR($Q4=Parametres!$G$2,$Q4=Parametres!$G$3),I4,C4)</f>
        <v>0</v>
      </c>
      <c r="O4" s="151">
        <f>+IF(OR($Q4=Parametres!$G$2,$Q4=Parametres!$G$3),J4,D4)</f>
        <v>0.05</v>
      </c>
      <c r="P4" s="151">
        <f>+IF(OR($Q4=Parametres!$G$2,$Q4=Parametres!$G$3),K4,E4)</f>
        <v>0.05</v>
      </c>
      <c r="Q4" s="150" t="str">
        <f t="shared" si="2"/>
        <v>1-Mémo</v>
      </c>
      <c r="R4" s="149" t="str">
        <f t="shared" si="3"/>
        <v>124</v>
      </c>
      <c r="S4" s="150" t="str">
        <f t="shared" si="4"/>
        <v>_</v>
      </c>
      <c r="T4" s="152" t="e">
        <f>+VLOOKUP($L4,Data_Validation!$A:$D,1,0)</f>
        <v>#N/A</v>
      </c>
      <c r="U4" s="152" t="e">
        <f>+VLOOKUP($L4,Data_Validation!$A:$D,3,0)</f>
        <v>#N/A</v>
      </c>
      <c r="V4" s="152" t="e">
        <f>+VLOOKUP($L4,Data_Validation!$A:$D,4,0)</f>
        <v>#N/A</v>
      </c>
      <c r="W4" s="152" t="e">
        <f>+VLOOKUP($L4,Data_Validation!$A:$E,5,0)</f>
        <v>#N/A</v>
      </c>
      <c r="X4" s="152" t="e">
        <f>+VLOOKUP($L4,Data_Validation!$A:$F,6,0)</f>
        <v>#N/A</v>
      </c>
    </row>
    <row r="5" spans="1:24" ht="15.75" customHeight="1">
      <c r="A5" s="708" t="s">
        <v>2546</v>
      </c>
      <c r="B5" s="708" t="s">
        <v>2547</v>
      </c>
      <c r="C5" s="709"/>
      <c r="D5" s="1274"/>
      <c r="E5" s="1274"/>
      <c r="F5" s="708" t="s">
        <v>1</v>
      </c>
      <c r="G5" s="708" t="s">
        <v>2450</v>
      </c>
      <c r="H5" s="709" t="s">
        <v>3000</v>
      </c>
      <c r="I5" s="710">
        <v>0</v>
      </c>
      <c r="J5" s="710">
        <v>0.02</v>
      </c>
      <c r="K5" s="710">
        <v>0.02</v>
      </c>
      <c r="L5" s="149" t="str">
        <f t="shared" si="0"/>
        <v>128B</v>
      </c>
      <c r="M5" s="150" t="str">
        <f t="shared" si="1"/>
        <v>DEC. NB VENTE USAGE GROS</v>
      </c>
      <c r="N5" s="151">
        <f>+IF(OR($Q5=Parametres!$G$2,$Q5=Parametres!$G$3),I5,C5)</f>
        <v>0</v>
      </c>
      <c r="O5" s="497">
        <f>+IF(OR($Q5=Parametres!$G$2,$Q5=Parametres!$G$3),J5,D5)</f>
        <v>0.02</v>
      </c>
      <c r="P5" s="151">
        <f>+IF(OR($Q5=Parametres!$G$2,$Q5=Parametres!$G$3),K5,E5)</f>
        <v>0.02</v>
      </c>
      <c r="Q5" s="150" t="str">
        <f t="shared" si="2"/>
        <v>1-Mémo</v>
      </c>
      <c r="R5" s="149" t="str">
        <f t="shared" si="3"/>
        <v>127</v>
      </c>
      <c r="S5" s="150" t="str">
        <f t="shared" si="4"/>
        <v>_</v>
      </c>
      <c r="T5" s="152" t="e">
        <f>+VLOOKUP($L5,Data_Validation!$A:$D,1,0)</f>
        <v>#N/A</v>
      </c>
      <c r="U5" s="152" t="e">
        <f>+VLOOKUP($L5,Data_Validation!$A:$D,3,0)</f>
        <v>#N/A</v>
      </c>
      <c r="V5" s="152" t="e">
        <f>+VLOOKUP($L5,Data_Validation!$A:$D,4,0)</f>
        <v>#N/A</v>
      </c>
      <c r="W5" s="152" t="e">
        <f>+VLOOKUP($L5,Data_Validation!$A:$E,5,0)</f>
        <v>#N/A</v>
      </c>
      <c r="X5" s="152" t="e">
        <f>+VLOOKUP($L5,Data_Validation!$A:$F,6,0)</f>
        <v>#N/A</v>
      </c>
    </row>
    <row r="6" spans="1:24" ht="15.75" customHeight="1">
      <c r="A6" s="708" t="s">
        <v>1320</v>
      </c>
      <c r="B6" s="708" t="s">
        <v>568</v>
      </c>
      <c r="C6" s="710"/>
      <c r="D6" s="710"/>
      <c r="E6" s="710"/>
      <c r="F6" s="708" t="s">
        <v>1</v>
      </c>
      <c r="G6" s="708" t="s">
        <v>568</v>
      </c>
      <c r="H6" s="664" t="s">
        <v>3000</v>
      </c>
      <c r="I6" s="663">
        <v>0</v>
      </c>
      <c r="J6" s="663">
        <v>1051751</v>
      </c>
      <c r="K6" s="663">
        <v>1051751</v>
      </c>
      <c r="L6" s="149" t="str">
        <f t="shared" si="0"/>
        <v>145</v>
      </c>
      <c r="M6" s="150" t="str">
        <f t="shared" si="1"/>
        <v>FONDS DE ROULEMENT REQUIS</v>
      </c>
      <c r="N6" s="151">
        <f>+IF(OR($Q6=Parametres!$G$2,$Q6=Parametres!$G$3),I6,C6)</f>
        <v>0</v>
      </c>
      <c r="O6" s="151">
        <f>+IF(OR($Q6=Parametres!$G$2,$Q6=Parametres!$G$3),J6,D6)</f>
        <v>1051751</v>
      </c>
      <c r="P6" s="151">
        <f>+IF(OR($Q6=Parametres!$G$2,$Q6=Parametres!$G$3),K6,E6)</f>
        <v>1051751</v>
      </c>
      <c r="Q6" s="150" t="str">
        <f t="shared" si="2"/>
        <v>1-Mémo</v>
      </c>
      <c r="R6" s="149" t="str">
        <f t="shared" si="3"/>
        <v>145</v>
      </c>
      <c r="S6" s="150" t="str">
        <f t="shared" si="4"/>
        <v>_</v>
      </c>
      <c r="T6" s="152" t="str">
        <f>+VLOOKUP($L6,Data_Validation!$A:$D,1,0)</f>
        <v>145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1331</v>
      </c>
      <c r="B7" s="708" t="s">
        <v>577</v>
      </c>
      <c r="C7" s="710"/>
      <c r="D7" s="710"/>
      <c r="E7" s="710"/>
      <c r="F7" s="708" t="s">
        <v>1</v>
      </c>
      <c r="G7" s="708" t="s">
        <v>577</v>
      </c>
      <c r="H7" s="664" t="s">
        <v>3000</v>
      </c>
      <c r="I7" s="664">
        <v>0</v>
      </c>
      <c r="J7" s="664">
        <v>1</v>
      </c>
      <c r="K7" s="664">
        <v>1</v>
      </c>
      <c r="L7" s="149" t="str">
        <f t="shared" si="0"/>
        <v>160Z</v>
      </c>
      <c r="M7" s="150" t="str">
        <f t="shared" si="1"/>
        <v>NB EMP. PROPRIETAIRE ADMIN.</v>
      </c>
      <c r="N7" s="151">
        <f>+IF(OR($Q7=Parametres!$G$2,$Q7=Parametres!$G$3),I7,C7)</f>
        <v>0</v>
      </c>
      <c r="O7" s="151">
        <f>+IF(OR($Q7=Parametres!$G$2,$Q7=Parametres!$G$3),J7,D7)</f>
        <v>1</v>
      </c>
      <c r="P7" s="151">
        <f>+IF(OR($Q7=Parametres!$G$2,$Q7=Parametres!$G$3),K7,E7)</f>
        <v>1</v>
      </c>
      <c r="Q7" s="150" t="str">
        <f t="shared" si="2"/>
        <v>1-Mémo</v>
      </c>
      <c r="R7" s="149" t="str">
        <f t="shared" si="3"/>
        <v>160Z</v>
      </c>
      <c r="S7" s="150" t="str">
        <f t="shared" si="4"/>
        <v>_</v>
      </c>
      <c r="T7" s="152" t="str">
        <f>+VLOOKUP($L7,Data_Validation!$A:$D,1,0)</f>
        <v>160Z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1332</v>
      </c>
      <c r="B8" s="708" t="s">
        <v>578</v>
      </c>
      <c r="C8" s="710"/>
      <c r="D8" s="710"/>
      <c r="E8" s="710"/>
      <c r="F8" s="708" t="s">
        <v>1</v>
      </c>
      <c r="G8" s="708" t="s">
        <v>2453</v>
      </c>
      <c r="H8" s="657" t="s">
        <v>3000</v>
      </c>
      <c r="I8" s="656">
        <v>0</v>
      </c>
      <c r="J8" s="656">
        <v>0.5</v>
      </c>
      <c r="K8" s="656">
        <v>0.5</v>
      </c>
      <c r="L8" s="149" t="str">
        <f t="shared" si="0"/>
        <v>161A</v>
      </c>
      <c r="M8" s="150" t="str">
        <f t="shared" si="1"/>
        <v>NB EMP. SUPERVISION - NEUF</v>
      </c>
      <c r="N8" s="151">
        <f>+IF(OR($Q8=Parametres!$G$2,$Q8=Parametres!$G$3),I8,C8)</f>
        <v>0</v>
      </c>
      <c r="O8" s="151">
        <f>+IF(OR($Q8=Parametres!$G$2,$Q8=Parametres!$G$3),J8,D8)</f>
        <v>0.5</v>
      </c>
      <c r="P8" s="151">
        <f>+IF(OR($Q8=Parametres!$G$2,$Q8=Parametres!$G$3),K8,E8)</f>
        <v>0.5</v>
      </c>
      <c r="Q8" s="150" t="str">
        <f t="shared" si="2"/>
        <v>1-Mémo</v>
      </c>
      <c r="R8" s="149" t="str">
        <f t="shared" si="3"/>
        <v>161</v>
      </c>
      <c r="S8" s="150" t="str">
        <f t="shared" si="4"/>
        <v>_</v>
      </c>
      <c r="T8" s="152" t="str">
        <f>+VLOOKUP($L8,Data_Validation!$A:$D,1,0)</f>
        <v>161A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1333</v>
      </c>
      <c r="B9" s="708" t="s">
        <v>579</v>
      </c>
      <c r="C9" s="710"/>
      <c r="D9" s="710"/>
      <c r="E9" s="710"/>
      <c r="F9" s="708" t="s">
        <v>1</v>
      </c>
      <c r="G9" s="708" t="s">
        <v>2453</v>
      </c>
      <c r="H9" s="657" t="s">
        <v>3000</v>
      </c>
      <c r="I9" s="656">
        <v>0</v>
      </c>
      <c r="J9" s="656">
        <v>0.5</v>
      </c>
      <c r="K9" s="656">
        <v>0.5</v>
      </c>
      <c r="L9" s="149" t="str">
        <f t="shared" si="0"/>
        <v>161B</v>
      </c>
      <c r="M9" s="150" t="str">
        <f t="shared" si="1"/>
        <v>NB EMP. SUPERVISION - USAGE</v>
      </c>
      <c r="N9" s="151">
        <f>+IF(OR($Q9=Parametres!$G$2,$Q9=Parametres!$G$3),I9,C9)</f>
        <v>0</v>
      </c>
      <c r="O9" s="497">
        <f>+IF(OR($Q9=Parametres!$G$2,$Q9=Parametres!$G$3),J9,D9)</f>
        <v>0.5</v>
      </c>
      <c r="P9" s="151">
        <f>+IF(OR($Q9=Parametres!$G$2,$Q9=Parametres!$G$3),K9,E9)</f>
        <v>0.5</v>
      </c>
      <c r="Q9" s="150" t="str">
        <f t="shared" si="2"/>
        <v>1-Mémo</v>
      </c>
      <c r="R9" s="149" t="str">
        <f t="shared" si="3"/>
        <v>161</v>
      </c>
      <c r="S9" s="150" t="str">
        <f t="shared" si="4"/>
        <v>_</v>
      </c>
      <c r="T9" s="152" t="str">
        <f>+VLOOKUP($L9,Data_Validation!$A:$D,1,0)</f>
        <v>161B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1334</v>
      </c>
      <c r="B10" s="708" t="s">
        <v>580</v>
      </c>
      <c r="C10" s="710"/>
      <c r="D10" s="710"/>
      <c r="E10" s="710"/>
      <c r="F10" s="708" t="s">
        <v>1</v>
      </c>
      <c r="G10" s="708" t="s">
        <v>2453</v>
      </c>
      <c r="H10" s="664" t="s">
        <v>3000</v>
      </c>
      <c r="I10" s="663">
        <v>0</v>
      </c>
      <c r="J10" s="663">
        <v>0.5</v>
      </c>
      <c r="K10" s="663">
        <v>0.5</v>
      </c>
      <c r="L10" s="149" t="str">
        <f t="shared" si="0"/>
        <v>161C</v>
      </c>
      <c r="M10" s="150" t="str">
        <f t="shared" si="1"/>
        <v>NB EMP. SUPERBISION - SERVICE</v>
      </c>
      <c r="N10" s="151">
        <f>+IF(OR($Q10=Parametres!$G$2,$Q10=Parametres!$G$3),I10,C10)</f>
        <v>0</v>
      </c>
      <c r="O10" s="151">
        <f>+IF(OR($Q10=Parametres!$G$2,$Q10=Parametres!$G$3),J10,D10)</f>
        <v>0.5</v>
      </c>
      <c r="P10" s="151">
        <f>+IF(OR($Q10=Parametres!$G$2,$Q10=Parametres!$G$3),K10,E10)</f>
        <v>0.5</v>
      </c>
      <c r="Q10" s="150" t="str">
        <f t="shared" si="2"/>
        <v>1-Mémo</v>
      </c>
      <c r="R10" s="149" t="str">
        <f t="shared" si="3"/>
        <v>161</v>
      </c>
      <c r="S10" s="150" t="str">
        <f t="shared" si="4"/>
        <v>_</v>
      </c>
      <c r="T10" s="152" t="str">
        <f>+VLOOKUP($L10,Data_Validation!$A:$D,1,0)</f>
        <v>161C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1335</v>
      </c>
      <c r="B11" s="708" t="s">
        <v>581</v>
      </c>
      <c r="C11" s="710"/>
      <c r="D11" s="710"/>
      <c r="E11" s="710"/>
      <c r="F11" s="708" t="s">
        <v>1</v>
      </c>
      <c r="G11" s="708" t="s">
        <v>2453</v>
      </c>
      <c r="H11" s="664" t="s">
        <v>3000</v>
      </c>
      <c r="I11" s="663">
        <v>0</v>
      </c>
      <c r="J11" s="663">
        <v>0.5</v>
      </c>
      <c r="K11" s="663">
        <v>0.5</v>
      </c>
      <c r="L11" s="149" t="str">
        <f t="shared" si="0"/>
        <v>161D</v>
      </c>
      <c r="M11" s="150" t="str">
        <f t="shared" si="1"/>
        <v>NB EMP. SUPERVISION - PIECES</v>
      </c>
      <c r="N11" s="151">
        <f>+IF(OR($Q11=Parametres!$G$2,$Q11=Parametres!$G$3),I11,C11)</f>
        <v>0</v>
      </c>
      <c r="O11" s="151">
        <f>+IF(OR($Q11=Parametres!$G$2,$Q11=Parametres!$G$3),J11,D11)</f>
        <v>0.5</v>
      </c>
      <c r="P11" s="151">
        <f>+IF(OR($Q11=Parametres!$G$2,$Q11=Parametres!$G$3),K11,E11)</f>
        <v>0.5</v>
      </c>
      <c r="Q11" s="150" t="str">
        <f t="shared" si="2"/>
        <v>1-Mémo</v>
      </c>
      <c r="R11" s="149" t="str">
        <f t="shared" si="3"/>
        <v>161</v>
      </c>
      <c r="S11" s="150" t="str">
        <f t="shared" si="4"/>
        <v>_</v>
      </c>
      <c r="T11" s="152" t="str">
        <f>+VLOOKUP($L11,Data_Validation!$A:$D,1,0)</f>
        <v>161D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1336</v>
      </c>
      <c r="B12" s="708" t="s">
        <v>582</v>
      </c>
      <c r="C12" s="709"/>
      <c r="D12" s="1274"/>
      <c r="E12" s="1274"/>
      <c r="F12" s="708" t="s">
        <v>1</v>
      </c>
      <c r="G12" s="708" t="s">
        <v>2453</v>
      </c>
      <c r="H12" s="709" t="s">
        <v>3000</v>
      </c>
      <c r="I12" s="710">
        <v>0</v>
      </c>
      <c r="J12" s="710">
        <v>1</v>
      </c>
      <c r="K12" s="710">
        <v>1</v>
      </c>
      <c r="L12" s="149" t="str">
        <f t="shared" si="0"/>
        <v>161Z</v>
      </c>
      <c r="M12" s="150" t="str">
        <f t="shared" si="1"/>
        <v>NB EMP. SUPERVISION - ADMIN.</v>
      </c>
      <c r="N12" s="151">
        <f>+IF(OR($Q12=Parametres!$G$2,$Q12=Parametres!$G$3),I12,C12)</f>
        <v>0</v>
      </c>
      <c r="O12" s="151">
        <f>+IF(OR($Q12=Parametres!$G$2,$Q12=Parametres!$G$3),J12,D12)</f>
        <v>1</v>
      </c>
      <c r="P12" s="151">
        <f>+IF(OR($Q12=Parametres!$G$2,$Q12=Parametres!$G$3),K12,E12)</f>
        <v>1</v>
      </c>
      <c r="Q12" s="150" t="str">
        <f t="shared" si="2"/>
        <v>1-Mémo</v>
      </c>
      <c r="R12" s="149" t="str">
        <f t="shared" si="3"/>
        <v>161</v>
      </c>
      <c r="S12" s="150" t="str">
        <f t="shared" si="4"/>
        <v>_</v>
      </c>
      <c r="T12" s="152" t="str">
        <f>+VLOOKUP($L12,Data_Validation!$A:$D,1,0)</f>
        <v>161Z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1337</v>
      </c>
      <c r="B13" s="708" t="s">
        <v>583</v>
      </c>
      <c r="C13" s="710"/>
      <c r="D13" s="710"/>
      <c r="E13" s="710"/>
      <c r="F13" s="708" t="s">
        <v>1</v>
      </c>
      <c r="G13" s="708" t="s">
        <v>583</v>
      </c>
      <c r="H13" s="664" t="s">
        <v>3000</v>
      </c>
      <c r="I13" s="663">
        <v>0</v>
      </c>
      <c r="J13" s="663">
        <v>1</v>
      </c>
      <c r="K13" s="663">
        <v>1</v>
      </c>
      <c r="L13" s="149" t="str">
        <f t="shared" si="0"/>
        <v>164</v>
      </c>
      <c r="M13" s="150" t="str">
        <f t="shared" si="1"/>
        <v>NB EMP. VENDEURS BMW - F&amp;I</v>
      </c>
      <c r="N13" s="151">
        <f>+IF(OR($Q13=Parametres!$G$2,$Q13=Parametres!$G$3),I13,C13)</f>
        <v>0</v>
      </c>
      <c r="O13" s="151">
        <f>+IF(OR($Q13=Parametres!$G$2,$Q13=Parametres!$G$3),J13,D13)</f>
        <v>1</v>
      </c>
      <c r="P13" s="151">
        <f>+IF(OR($Q13=Parametres!$G$2,$Q13=Parametres!$G$3),K13,E13)</f>
        <v>1</v>
      </c>
      <c r="Q13" s="150" t="str">
        <f t="shared" si="2"/>
        <v>1-Mémo</v>
      </c>
      <c r="R13" s="149" t="str">
        <f t="shared" si="3"/>
        <v>164</v>
      </c>
      <c r="S13" s="150" t="str">
        <f t="shared" si="4"/>
        <v>_</v>
      </c>
      <c r="T13" s="152" t="str">
        <f>+VLOOKUP($L13,Data_Validation!$A:$D,1,0)</f>
        <v>164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1338</v>
      </c>
      <c r="B14" s="708" t="s">
        <v>584</v>
      </c>
      <c r="C14" s="710"/>
      <c r="D14" s="710"/>
      <c r="E14" s="710"/>
      <c r="F14" s="708" t="s">
        <v>1</v>
      </c>
      <c r="G14" s="708" t="s">
        <v>583</v>
      </c>
      <c r="H14" s="664" t="s">
        <v>3000</v>
      </c>
      <c r="I14" s="663">
        <v>0</v>
      </c>
      <c r="J14" s="663">
        <v>2</v>
      </c>
      <c r="K14" s="663">
        <v>2</v>
      </c>
      <c r="L14" s="149" t="str">
        <f t="shared" si="0"/>
        <v>164A</v>
      </c>
      <c r="M14" s="150" t="str">
        <f t="shared" si="1"/>
        <v>NB EMP. VENDEURS BMW - NEUF</v>
      </c>
      <c r="N14" s="151">
        <f>+IF(OR($Q14=Parametres!$G$2,$Q14=Parametres!$G$3),I14,C14)</f>
        <v>0</v>
      </c>
      <c r="O14" s="151">
        <f>+IF(OR($Q14=Parametres!$G$2,$Q14=Parametres!$G$3),J14,D14)</f>
        <v>2</v>
      </c>
      <c r="P14" s="151">
        <f>+IF(OR($Q14=Parametres!$G$2,$Q14=Parametres!$G$3),K14,E14)</f>
        <v>2</v>
      </c>
      <c r="Q14" s="150" t="str">
        <f t="shared" si="2"/>
        <v>1-Mémo</v>
      </c>
      <c r="R14" s="149" t="str">
        <f t="shared" si="3"/>
        <v>164</v>
      </c>
      <c r="S14" s="150" t="str">
        <f t="shared" si="4"/>
        <v>_</v>
      </c>
      <c r="T14" s="152" t="str">
        <f>+VLOOKUP($L14,Data_Validation!$A:$D,1,0)</f>
        <v>164A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1339</v>
      </c>
      <c r="B15" s="708" t="s">
        <v>585</v>
      </c>
      <c r="C15" s="709"/>
      <c r="D15" s="1274"/>
      <c r="E15" s="1274"/>
      <c r="F15" s="708" t="s">
        <v>1</v>
      </c>
      <c r="G15" s="708" t="s">
        <v>583</v>
      </c>
      <c r="H15" s="709" t="s">
        <v>3000</v>
      </c>
      <c r="I15" s="710">
        <v>0</v>
      </c>
      <c r="J15" s="710">
        <v>2</v>
      </c>
      <c r="K15" s="710">
        <v>2</v>
      </c>
      <c r="L15" s="149" t="str">
        <f t="shared" si="0"/>
        <v>164B</v>
      </c>
      <c r="M15" s="150" t="str">
        <f t="shared" si="1"/>
        <v>NB EMP. VENDEURS BMW - USAGE</v>
      </c>
      <c r="N15" s="151">
        <f>+IF(OR($Q15=Parametres!$G$2,$Q15=Parametres!$G$3),I15,C15)</f>
        <v>0</v>
      </c>
      <c r="O15" s="151">
        <f>+IF(OR($Q15=Parametres!$G$2,$Q15=Parametres!$G$3),J15,D15)</f>
        <v>2</v>
      </c>
      <c r="P15" s="151">
        <f>+IF(OR($Q15=Parametres!$G$2,$Q15=Parametres!$G$3),K15,E15)</f>
        <v>2</v>
      </c>
      <c r="Q15" s="150" t="str">
        <f t="shared" si="2"/>
        <v>1-Mémo</v>
      </c>
      <c r="R15" s="149" t="str">
        <f t="shared" si="3"/>
        <v>164</v>
      </c>
      <c r="S15" s="150" t="str">
        <f t="shared" si="4"/>
        <v>_</v>
      </c>
      <c r="T15" s="152" t="str">
        <f>+VLOOKUP($L15,Data_Validation!$A:$D,1,0)</f>
        <v>164B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1340</v>
      </c>
      <c r="B16" s="708" t="s">
        <v>586</v>
      </c>
      <c r="C16" s="709"/>
      <c r="D16" s="1274"/>
      <c r="E16" s="1274"/>
      <c r="F16" s="708" t="s">
        <v>1</v>
      </c>
      <c r="G16" s="708" t="s">
        <v>586</v>
      </c>
      <c r="H16" s="709" t="s">
        <v>3000</v>
      </c>
      <c r="I16" s="710">
        <v>0</v>
      </c>
      <c r="J16" s="710">
        <v>2</v>
      </c>
      <c r="K16" s="710">
        <v>2</v>
      </c>
      <c r="L16" s="149" t="str">
        <f t="shared" si="0"/>
        <v>164D</v>
      </c>
      <c r="M16" s="150" t="str">
        <f t="shared" si="1"/>
        <v>NB EMP. COMMIS COMPTOIR - PIECES</v>
      </c>
      <c r="N16" s="151">
        <f>+IF(OR($Q16=Parametres!$G$2,$Q16=Parametres!$G$3),I16,C16)</f>
        <v>0</v>
      </c>
      <c r="O16" s="498">
        <f>+IF(OR($Q16=Parametres!$G$2,$Q16=Parametres!$G$3),J16,D16)</f>
        <v>2</v>
      </c>
      <c r="P16" s="151">
        <f>+IF(OR($Q16=Parametres!$G$2,$Q16=Parametres!$G$3),K16,E16)</f>
        <v>2</v>
      </c>
      <c r="Q16" s="150" t="str">
        <f t="shared" si="2"/>
        <v>1-Mémo</v>
      </c>
      <c r="R16" s="149" t="str">
        <f t="shared" si="3"/>
        <v>164D</v>
      </c>
      <c r="S16" s="150" t="str">
        <f t="shared" si="4"/>
        <v>_</v>
      </c>
      <c r="T16" s="152" t="str">
        <f>+VLOOKUP($L16,Data_Validation!$A:$D,1,0)</f>
        <v>164D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1999</v>
      </c>
      <c r="B17" s="708" t="s">
        <v>2000</v>
      </c>
      <c r="C17" s="710"/>
      <c r="D17" s="710"/>
      <c r="E17" s="710"/>
      <c r="F17" s="708" t="s">
        <v>1</v>
      </c>
      <c r="G17" s="708" t="s">
        <v>2001</v>
      </c>
      <c r="H17" s="664" t="s">
        <v>3000</v>
      </c>
      <c r="I17" s="663">
        <v>0</v>
      </c>
      <c r="J17" s="663">
        <v>0.5</v>
      </c>
      <c r="K17" s="663">
        <v>0.5</v>
      </c>
      <c r="L17" s="149" t="str">
        <f t="shared" si="0"/>
        <v>166A</v>
      </c>
      <c r="M17" s="150" t="str">
        <f t="shared" si="1"/>
        <v>NB EMP. AUTRES - NEUF</v>
      </c>
      <c r="N17" s="151">
        <f>+IF(OR($Q17=Parametres!$G$2,$Q17=Parametres!$G$3),I17,C17)</f>
        <v>0</v>
      </c>
      <c r="O17" s="151">
        <f>+IF(OR($Q17=Parametres!$G$2,$Q17=Parametres!$G$3),J17,D17)</f>
        <v>0.5</v>
      </c>
      <c r="P17" s="151">
        <f>+IF(OR($Q17=Parametres!$G$2,$Q17=Parametres!$G$3),K17,E17)</f>
        <v>0.5</v>
      </c>
      <c r="Q17" s="150" t="str">
        <f t="shared" si="2"/>
        <v>1-Mémo</v>
      </c>
      <c r="R17" s="149" t="str">
        <f t="shared" si="3"/>
        <v>166</v>
      </c>
      <c r="S17" s="150" t="str">
        <f t="shared" si="4"/>
        <v>_</v>
      </c>
      <c r="T17" s="152" t="str">
        <f>+VLOOKUP($L17,Data_Validation!$A:$D,1,0)</f>
        <v>166A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2002</v>
      </c>
      <c r="B18" s="708" t="s">
        <v>2003</v>
      </c>
      <c r="C18" s="710"/>
      <c r="D18" s="710"/>
      <c r="E18" s="710"/>
      <c r="F18" s="708" t="s">
        <v>1</v>
      </c>
      <c r="G18" s="708" t="s">
        <v>2001</v>
      </c>
      <c r="H18" s="657" t="s">
        <v>3000</v>
      </c>
      <c r="I18" s="656">
        <v>0</v>
      </c>
      <c r="J18" s="656">
        <v>0.5</v>
      </c>
      <c r="K18" s="656">
        <v>0.5</v>
      </c>
      <c r="L18" s="149" t="str">
        <f t="shared" si="0"/>
        <v>166B</v>
      </c>
      <c r="M18" s="150" t="str">
        <f t="shared" si="1"/>
        <v>NB EMP. AUTRES - USAGE</v>
      </c>
      <c r="N18" s="151">
        <f>+IF(OR($Q18=Parametres!$G$2,$Q18=Parametres!$G$3),I18,C18)</f>
        <v>0</v>
      </c>
      <c r="O18" s="151">
        <f>+IF(OR($Q18=Parametres!$G$2,$Q18=Parametres!$G$3),J18,D18)</f>
        <v>0.5</v>
      </c>
      <c r="P18" s="151">
        <f>+IF(OR($Q18=Parametres!$G$2,$Q18=Parametres!$G$3),K18,E18)</f>
        <v>0.5</v>
      </c>
      <c r="Q18" s="150" t="str">
        <f t="shared" si="2"/>
        <v>1-Mémo</v>
      </c>
      <c r="R18" s="149" t="str">
        <f t="shared" si="3"/>
        <v>166</v>
      </c>
      <c r="S18" s="150" t="str">
        <f t="shared" si="4"/>
        <v>_</v>
      </c>
      <c r="T18" s="152" t="str">
        <f>+VLOOKUP($L18,Data_Validation!$A:$D,1,0)</f>
        <v>166B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1341</v>
      </c>
      <c r="B19" s="708" t="s">
        <v>587</v>
      </c>
      <c r="C19" s="710"/>
      <c r="D19" s="710"/>
      <c r="E19" s="710"/>
      <c r="F19" s="708" t="s">
        <v>1</v>
      </c>
      <c r="G19" s="708" t="s">
        <v>2001</v>
      </c>
      <c r="H19" s="664" t="s">
        <v>3000</v>
      </c>
      <c r="I19" s="663">
        <v>0</v>
      </c>
      <c r="J19" s="663">
        <v>3</v>
      </c>
      <c r="K19" s="663">
        <v>3</v>
      </c>
      <c r="L19" s="149" t="str">
        <f t="shared" si="0"/>
        <v>166C</v>
      </c>
      <c r="M19" s="150" t="str">
        <f t="shared" si="1"/>
        <v>NB EMP. AUTRES - SERVICE</v>
      </c>
      <c r="N19" s="151">
        <f>+IF(OR($Q19=Parametres!$G$2,$Q19=Parametres!$G$3),I19,C19)</f>
        <v>0</v>
      </c>
      <c r="O19" s="151">
        <f>+IF(OR($Q19=Parametres!$G$2,$Q19=Parametres!$G$3),J19,D19)</f>
        <v>3</v>
      </c>
      <c r="P19" s="151">
        <f>+IF(OR($Q19=Parametres!$G$2,$Q19=Parametres!$G$3),K19,E19)</f>
        <v>3</v>
      </c>
      <c r="Q19" s="150" t="str">
        <f t="shared" si="2"/>
        <v>1-Mémo</v>
      </c>
      <c r="R19" s="149" t="str">
        <f t="shared" si="3"/>
        <v>166</v>
      </c>
      <c r="S19" s="150" t="str">
        <f t="shared" si="4"/>
        <v>_</v>
      </c>
      <c r="T19" s="152" t="str">
        <f>+VLOOKUP($L19,Data_Validation!$A:$D,1,0)</f>
        <v>166C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1342</v>
      </c>
      <c r="B20" s="708" t="s">
        <v>588</v>
      </c>
      <c r="C20" s="710"/>
      <c r="D20" s="710"/>
      <c r="E20" s="710"/>
      <c r="F20" s="708" t="s">
        <v>1</v>
      </c>
      <c r="G20" s="708" t="s">
        <v>2001</v>
      </c>
      <c r="H20" s="600" t="s">
        <v>3000</v>
      </c>
      <c r="I20" s="601">
        <v>0</v>
      </c>
      <c r="J20" s="601">
        <v>2</v>
      </c>
      <c r="K20" s="601">
        <v>2</v>
      </c>
      <c r="L20" s="149" t="str">
        <f t="shared" si="0"/>
        <v>166Z</v>
      </c>
      <c r="M20" s="150" t="str">
        <f t="shared" si="1"/>
        <v>NB EMP. AUTRES - ADMIN.</v>
      </c>
      <c r="N20" s="151">
        <f>+IF(OR($Q20=Parametres!$G$2,$Q20=Parametres!$G$3),I20,C20)</f>
        <v>0</v>
      </c>
      <c r="O20" s="151">
        <f>+IF(OR($Q20=Parametres!$G$2,$Q20=Parametres!$G$3),J20,D20)</f>
        <v>2</v>
      </c>
      <c r="P20" s="151">
        <f>+IF(OR($Q20=Parametres!$G$2,$Q20=Parametres!$G$3),K20,E20)</f>
        <v>2</v>
      </c>
      <c r="Q20" s="150" t="str">
        <f t="shared" si="2"/>
        <v>1-Mémo</v>
      </c>
      <c r="R20" s="149" t="str">
        <f t="shared" si="3"/>
        <v>166</v>
      </c>
      <c r="S20" s="150" t="str">
        <f t="shared" si="4"/>
        <v>_</v>
      </c>
      <c r="T20" s="152" t="str">
        <f>+VLOOKUP($L20,Data_Validation!$A:$D,1,0)</f>
        <v>166Z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1343</v>
      </c>
      <c r="B21" s="708" t="s">
        <v>589</v>
      </c>
      <c r="C21" s="710"/>
      <c r="D21" s="710"/>
      <c r="E21" s="710"/>
      <c r="F21" s="708" t="s">
        <v>1</v>
      </c>
      <c r="G21" s="708" t="s">
        <v>2459</v>
      </c>
      <c r="H21" s="664" t="s">
        <v>3000</v>
      </c>
      <c r="I21" s="663">
        <v>0</v>
      </c>
      <c r="J21" s="663">
        <v>5</v>
      </c>
      <c r="K21" s="663">
        <v>5</v>
      </c>
      <c r="L21" s="149" t="str">
        <f t="shared" si="0"/>
        <v>170C</v>
      </c>
      <c r="M21" s="150" t="str">
        <f t="shared" si="1"/>
        <v>NB EMP. MECANICIENS - SERVICE</v>
      </c>
      <c r="N21" s="151">
        <f>+IF(OR($Q21=Parametres!$G$2,$Q21=Parametres!$G$3),I21,C21)</f>
        <v>0</v>
      </c>
      <c r="O21" s="151">
        <f>+IF(OR($Q21=Parametres!$G$2,$Q21=Parametres!$G$3),J21,D21)</f>
        <v>5</v>
      </c>
      <c r="P21" s="151">
        <f>+IF(OR($Q21=Parametres!$G$2,$Q21=Parametres!$G$3),K21,E21)</f>
        <v>5</v>
      </c>
      <c r="Q21" s="150" t="str">
        <f t="shared" si="2"/>
        <v>1-Mémo</v>
      </c>
      <c r="R21" s="149" t="str">
        <f t="shared" si="3"/>
        <v>170</v>
      </c>
      <c r="S21" s="150" t="str">
        <f t="shared" si="4"/>
        <v>_</v>
      </c>
      <c r="T21" s="152" t="str">
        <f>+VLOOKUP($L21,Data_Validation!$A:$D,1,0)</f>
        <v>170C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2004</v>
      </c>
      <c r="B22" s="708" t="s">
        <v>2005</v>
      </c>
      <c r="C22" s="709"/>
      <c r="D22" s="1274"/>
      <c r="E22" s="1274"/>
      <c r="F22" s="708" t="s">
        <v>1</v>
      </c>
      <c r="G22" s="708" t="s">
        <v>3052</v>
      </c>
      <c r="H22" s="709" t="s">
        <v>3000</v>
      </c>
      <c r="I22" s="710">
        <v>0</v>
      </c>
      <c r="J22" s="710">
        <v>1</v>
      </c>
      <c r="K22" s="710">
        <v>1</v>
      </c>
      <c r="L22" s="149" t="str">
        <f t="shared" si="0"/>
        <v>171C</v>
      </c>
      <c r="M22" s="150" t="str">
        <f t="shared" si="1"/>
        <v>NB EMP. APPRENTIS - SERVICE</v>
      </c>
      <c r="N22" s="151">
        <f>+IF(OR($Q22=Parametres!$G$2,$Q22=Parametres!$G$3),I22,C22)</f>
        <v>0</v>
      </c>
      <c r="O22" s="151">
        <f>+IF(OR($Q22=Parametres!$G$2,$Q22=Parametres!$G$3),J22,D22)</f>
        <v>1</v>
      </c>
      <c r="P22" s="151">
        <f>+IF(OR($Q22=Parametres!$G$2,$Q22=Parametres!$G$3),K22,E22)</f>
        <v>1</v>
      </c>
      <c r="Q22" s="150" t="str">
        <f t="shared" si="2"/>
        <v>1-Mémo</v>
      </c>
      <c r="R22" s="149" t="str">
        <f t="shared" si="3"/>
        <v>171</v>
      </c>
      <c r="S22" s="150" t="str">
        <f t="shared" si="4"/>
        <v>_</v>
      </c>
      <c r="T22" s="152" t="str">
        <f>+VLOOKUP($L22,Data_Validation!$A:$D,1,0)</f>
        <v>171C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1344</v>
      </c>
      <c r="B23" s="708" t="s">
        <v>1345</v>
      </c>
      <c r="C23" s="710"/>
      <c r="D23" s="710"/>
      <c r="E23" s="710"/>
      <c r="F23" s="708" t="s">
        <v>1</v>
      </c>
      <c r="G23" s="708" t="s">
        <v>1345</v>
      </c>
      <c r="H23" s="664" t="s">
        <v>3000</v>
      </c>
      <c r="I23" s="663">
        <v>0</v>
      </c>
      <c r="J23" s="663">
        <v>0.08</v>
      </c>
      <c r="K23" s="663">
        <v>0.08</v>
      </c>
      <c r="L23" s="149" t="str">
        <f t="shared" si="0"/>
        <v>172M</v>
      </c>
      <c r="M23" s="150" t="str">
        <f t="shared" si="1"/>
        <v># DE BAIE DE TECHNICIEN</v>
      </c>
      <c r="N23" s="151">
        <f>+IF(OR($Q23=Parametres!$G$2,$Q23=Parametres!$G$3),I23,C23)</f>
        <v>0</v>
      </c>
      <c r="O23" s="151">
        <f>+IF(OR($Q23=Parametres!$G$2,$Q23=Parametres!$G$3),J23,D23)</f>
        <v>0.08</v>
      </c>
      <c r="P23" s="151">
        <f>+IF(OR($Q23=Parametres!$G$2,$Q23=Parametres!$G$3),K23,E23)</f>
        <v>0.08</v>
      </c>
      <c r="Q23" s="150" t="str">
        <f t="shared" si="2"/>
        <v>1-Mémo</v>
      </c>
      <c r="R23" s="149" t="str">
        <f t="shared" si="3"/>
        <v>172M</v>
      </c>
      <c r="S23" s="150" t="str">
        <f t="shared" si="4"/>
        <v>_</v>
      </c>
      <c r="T23" s="152" t="str">
        <f>+VLOOKUP($L23,Data_Validation!$A:$D,1,0)</f>
        <v>172M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1346</v>
      </c>
      <c r="B24" s="708" t="s">
        <v>1347</v>
      </c>
      <c r="C24" s="710"/>
      <c r="D24" s="710"/>
      <c r="E24" s="710"/>
      <c r="F24" s="708" t="s">
        <v>1</v>
      </c>
      <c r="G24" s="708" t="s">
        <v>1347</v>
      </c>
      <c r="H24" s="664" t="s">
        <v>3000</v>
      </c>
      <c r="I24" s="664">
        <v>0</v>
      </c>
      <c r="J24" s="664">
        <v>0.04</v>
      </c>
      <c r="K24" s="664">
        <v>0.04</v>
      </c>
      <c r="L24" s="149" t="str">
        <f t="shared" si="0"/>
        <v>172N</v>
      </c>
      <c r="M24" s="150" t="str">
        <f t="shared" si="1"/>
        <v># DE BAIE DE LAVAGE</v>
      </c>
      <c r="N24" s="151">
        <f>+IF(OR($Q24=Parametres!$G$2,$Q24=Parametres!$G$3),I24,C24)</f>
        <v>0</v>
      </c>
      <c r="O24" s="151">
        <f>+IF(OR($Q24=Parametres!$G$2,$Q24=Parametres!$G$3),J24,D24)</f>
        <v>0.04</v>
      </c>
      <c r="P24" s="151">
        <f>+IF(OR($Q24=Parametres!$G$2,$Q24=Parametres!$G$3),K24,E24)</f>
        <v>0.04</v>
      </c>
      <c r="Q24" s="150" t="str">
        <f t="shared" si="2"/>
        <v>1-Mémo</v>
      </c>
      <c r="R24" s="149" t="str">
        <f t="shared" si="3"/>
        <v>172N</v>
      </c>
      <c r="S24" s="150" t="str">
        <f t="shared" si="4"/>
        <v>_</v>
      </c>
      <c r="T24" s="152" t="str">
        <f>+VLOOKUP($L24,Data_Validation!$A:$D,1,0)</f>
        <v>172N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08" t="s">
        <v>1348</v>
      </c>
      <c r="B25" s="708" t="s">
        <v>590</v>
      </c>
      <c r="C25" s="710"/>
      <c r="D25" s="710"/>
      <c r="E25" s="710"/>
      <c r="F25" s="708" t="s">
        <v>1</v>
      </c>
      <c r="G25" s="708" t="s">
        <v>2454</v>
      </c>
      <c r="H25" s="657" t="s">
        <v>3000</v>
      </c>
      <c r="I25" s="656">
        <v>0</v>
      </c>
      <c r="J25" s="656">
        <v>2</v>
      </c>
      <c r="K25" s="656">
        <v>2</v>
      </c>
      <c r="L25" s="149" t="str">
        <f t="shared" si="0"/>
        <v>173C</v>
      </c>
      <c r="M25" s="150" t="str">
        <f t="shared" si="1"/>
        <v>NB EMP. AVISEURS - SERVICE</v>
      </c>
      <c r="N25" s="151">
        <f>+IF(OR($Q25=Parametres!$G$2,$Q25=Parametres!$G$3),I25,C25)</f>
        <v>0</v>
      </c>
      <c r="O25" s="151">
        <f>+IF(OR($Q25=Parametres!$G$2,$Q25=Parametres!$G$3),J25,D25)</f>
        <v>2</v>
      </c>
      <c r="P25" s="151">
        <f>+IF(OR($Q25=Parametres!$G$2,$Q25=Parametres!$G$3),K25,E25)</f>
        <v>2</v>
      </c>
      <c r="Q25" s="150" t="str">
        <f t="shared" si="2"/>
        <v>1-Mémo</v>
      </c>
      <c r="R25" s="149" t="str">
        <f t="shared" si="3"/>
        <v>173</v>
      </c>
      <c r="S25" s="150" t="str">
        <f t="shared" si="4"/>
        <v>_</v>
      </c>
      <c r="T25" s="152" t="str">
        <f>+VLOOKUP($L25,Data_Validation!$A:$D,1,0)</f>
        <v>173C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1349</v>
      </c>
      <c r="B26" s="708" t="s">
        <v>591</v>
      </c>
      <c r="C26" s="710"/>
      <c r="D26" s="710"/>
      <c r="E26" s="710"/>
      <c r="F26" s="708" t="s">
        <v>1</v>
      </c>
      <c r="G26" s="708" t="s">
        <v>2455</v>
      </c>
      <c r="H26" s="664" t="s">
        <v>3000</v>
      </c>
      <c r="I26" s="663">
        <v>0</v>
      </c>
      <c r="J26" s="663">
        <v>189.95</v>
      </c>
      <c r="K26" s="663">
        <v>189.95</v>
      </c>
      <c r="L26" s="149" t="str">
        <f t="shared" si="0"/>
        <v>175A</v>
      </c>
      <c r="M26" s="150" t="str">
        <f t="shared" si="1"/>
        <v>TAUX M/O CLIENT BMW</v>
      </c>
      <c r="N26" s="151">
        <f>+IF(OR($Q26=Parametres!$G$2,$Q26=Parametres!$G$3),I26,C26)</f>
        <v>0</v>
      </c>
      <c r="O26" s="151">
        <f>+IF(OR($Q26=Parametres!$G$2,$Q26=Parametres!$G$3),J26,D26)</f>
        <v>189.95</v>
      </c>
      <c r="P26" s="151">
        <f>+IF(OR($Q26=Parametres!$G$2,$Q26=Parametres!$G$3),K26,E26)</f>
        <v>189.95</v>
      </c>
      <c r="Q26" s="150" t="str">
        <f t="shared" si="2"/>
        <v>1-Mémo</v>
      </c>
      <c r="R26" s="149" t="str">
        <f t="shared" si="3"/>
        <v>175</v>
      </c>
      <c r="S26" s="150" t="str">
        <f t="shared" si="4"/>
        <v>_</v>
      </c>
      <c r="T26" s="152" t="str">
        <f>+VLOOKUP($L26,Data_Validation!$A:$D,1,0)</f>
        <v>175A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1350</v>
      </c>
      <c r="B27" s="708" t="s">
        <v>592</v>
      </c>
      <c r="C27" s="710"/>
      <c r="D27" s="710"/>
      <c r="E27" s="710"/>
      <c r="F27" s="708" t="s">
        <v>1</v>
      </c>
      <c r="G27" s="708" t="s">
        <v>2456</v>
      </c>
      <c r="H27" s="664" t="s">
        <v>3000</v>
      </c>
      <c r="I27" s="663">
        <v>0</v>
      </c>
      <c r="J27" s="663">
        <v>140.34</v>
      </c>
      <c r="K27" s="663">
        <v>140.34</v>
      </c>
      <c r="L27" s="149" t="str">
        <f t="shared" si="0"/>
        <v>176A</v>
      </c>
      <c r="M27" s="150" t="str">
        <f t="shared" si="1"/>
        <v>TAUX M/O GARANTIE BMW</v>
      </c>
      <c r="N27" s="151">
        <f>+IF(OR($Q27=Parametres!$G$2,$Q27=Parametres!$G$3),I27,C27)</f>
        <v>0</v>
      </c>
      <c r="O27" s="151">
        <f>+IF(OR($Q27=Parametres!$G$2,$Q27=Parametres!$G$3),J27,D27)</f>
        <v>140.34</v>
      </c>
      <c r="P27" s="151">
        <f>+IF(OR($Q27=Parametres!$G$2,$Q27=Parametres!$G$3),K27,E27)</f>
        <v>140.34</v>
      </c>
      <c r="Q27" s="150" t="str">
        <f t="shared" si="2"/>
        <v>1-Mémo</v>
      </c>
      <c r="R27" s="149" t="str">
        <f t="shared" si="3"/>
        <v>176</v>
      </c>
      <c r="S27" s="150" t="str">
        <f t="shared" si="4"/>
        <v>_</v>
      </c>
      <c r="T27" s="152" t="str">
        <f>+VLOOKUP($L27,Data_Validation!$A:$D,1,0)</f>
        <v>176A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62" t="s">
        <v>1351</v>
      </c>
      <c r="B28" s="662" t="s">
        <v>593</v>
      </c>
      <c r="C28" s="663"/>
      <c r="D28" s="663"/>
      <c r="E28" s="663"/>
      <c r="F28" s="662" t="s">
        <v>1</v>
      </c>
      <c r="G28" s="662" t="s">
        <v>2457</v>
      </c>
      <c r="H28" s="657" t="s">
        <v>3000</v>
      </c>
      <c r="I28" s="656">
        <v>0</v>
      </c>
      <c r="J28" s="656">
        <v>189.95</v>
      </c>
      <c r="K28" s="656">
        <v>189.95</v>
      </c>
      <c r="L28" s="149" t="str">
        <f t="shared" si="0"/>
        <v>177A</v>
      </c>
      <c r="M28" s="150" t="str">
        <f t="shared" si="1"/>
        <v>TAUX M/O INTERNE BMW</v>
      </c>
      <c r="N28" s="151">
        <f>+IF(OR($Q28=Parametres!$G$2,$Q28=Parametres!$G$3),I28,C28)</f>
        <v>0</v>
      </c>
      <c r="O28" s="151">
        <f>+IF(OR($Q28=Parametres!$G$2,$Q28=Parametres!$G$3),J28,D28)</f>
        <v>189.95</v>
      </c>
      <c r="P28" s="151">
        <f>+IF(OR($Q28=Parametres!$G$2,$Q28=Parametres!$G$3),K28,E28)</f>
        <v>189.95</v>
      </c>
      <c r="Q28" s="150" t="str">
        <f t="shared" si="2"/>
        <v>1-Mémo</v>
      </c>
      <c r="R28" s="149" t="str">
        <f t="shared" si="3"/>
        <v>177</v>
      </c>
      <c r="S28" s="150" t="str">
        <f t="shared" si="4"/>
        <v>_</v>
      </c>
      <c r="T28" s="152" t="str">
        <f>+VLOOKUP($L28,Data_Validation!$A:$D,1,0)</f>
        <v>177A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1352</v>
      </c>
      <c r="B29" s="708" t="s">
        <v>1353</v>
      </c>
      <c r="C29" s="709"/>
      <c r="D29" s="1274"/>
      <c r="E29" s="1274"/>
      <c r="F29" s="708" t="s">
        <v>1</v>
      </c>
      <c r="G29" s="708" t="s">
        <v>2457</v>
      </c>
      <c r="H29" s="709" t="s">
        <v>3000</v>
      </c>
      <c r="I29" s="710">
        <v>0</v>
      </c>
      <c r="J29" s="710">
        <v>0.8</v>
      </c>
      <c r="K29" s="710">
        <v>0.8</v>
      </c>
      <c r="L29" s="149" t="str">
        <f t="shared" si="0"/>
        <v>177S</v>
      </c>
      <c r="M29" s="150" t="str">
        <f t="shared" si="1"/>
        <v>TAUX M/O PROGRAMME SPA BMW</v>
      </c>
      <c r="N29" s="151">
        <f>+IF(OR($Q29=Parametres!$G$2,$Q29=Parametres!$G$3),I29,C29)</f>
        <v>0</v>
      </c>
      <c r="O29" s="498">
        <f>+IF(OR($Q29=Parametres!$G$2,$Q29=Parametres!$G$3),J29,D29)</f>
        <v>0.8</v>
      </c>
      <c r="P29" s="151">
        <f>+IF(OR($Q29=Parametres!$G$2,$Q29=Parametres!$G$3),K29,E29)</f>
        <v>0.8</v>
      </c>
      <c r="Q29" s="150" t="str">
        <f t="shared" si="2"/>
        <v>1-Mémo</v>
      </c>
      <c r="R29" s="149" t="str">
        <f t="shared" si="3"/>
        <v>177</v>
      </c>
      <c r="S29" s="150" t="str">
        <f t="shared" si="4"/>
        <v>_</v>
      </c>
      <c r="T29" s="152" t="str">
        <f>+VLOOKUP($L29,Data_Validation!$A:$D,1,0)</f>
        <v>177S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1354</v>
      </c>
      <c r="B30" s="708" t="s">
        <v>594</v>
      </c>
      <c r="C30" s="709"/>
      <c r="D30" s="709"/>
      <c r="E30" s="709"/>
      <c r="F30" s="708" t="s">
        <v>1</v>
      </c>
      <c r="G30" s="708" t="s">
        <v>2458</v>
      </c>
      <c r="H30" s="709" t="s">
        <v>3000</v>
      </c>
      <c r="I30" s="710">
        <v>0</v>
      </c>
      <c r="J30" s="710">
        <v>121.68</v>
      </c>
      <c r="K30" s="710">
        <v>121.68</v>
      </c>
      <c r="L30" s="149" t="str">
        <f t="shared" si="0"/>
        <v>178D</v>
      </c>
      <c r="M30" s="150" t="str">
        <f t="shared" si="1"/>
        <v>PRODUCTIVITE TECHNICIEN</v>
      </c>
      <c r="N30" s="151">
        <f>+IF(OR($Q30=Parametres!$G$2,$Q30=Parametres!$G$3),I30,C30)</f>
        <v>0</v>
      </c>
      <c r="O30" s="497">
        <f>+IF(OR($Q30=Parametres!$G$2,$Q30=Parametres!$G$3),J30,D30)</f>
        <v>121.68</v>
      </c>
      <c r="P30" s="151">
        <f>+IF(OR($Q30=Parametres!$G$2,$Q30=Parametres!$G$3),K30,E30)</f>
        <v>121.68</v>
      </c>
      <c r="Q30" s="150" t="str">
        <f t="shared" si="2"/>
        <v>1-Mémo</v>
      </c>
      <c r="R30" s="149" t="str">
        <f t="shared" si="3"/>
        <v>178</v>
      </c>
      <c r="S30" s="150" t="str">
        <f t="shared" si="4"/>
        <v>_</v>
      </c>
      <c r="T30" s="152" t="str">
        <f>+VLOOKUP($L30,Data_Validation!$A:$D,1,0)</f>
        <v>178D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1355</v>
      </c>
      <c r="B31" s="708" t="s">
        <v>595</v>
      </c>
      <c r="C31" s="710"/>
      <c r="D31" s="710"/>
      <c r="E31" s="710"/>
      <c r="F31" s="708" t="s">
        <v>1</v>
      </c>
      <c r="G31" s="708" t="s">
        <v>595</v>
      </c>
      <c r="H31" s="602" t="s">
        <v>3000</v>
      </c>
      <c r="I31" s="601">
        <v>0</v>
      </c>
      <c r="J31" s="601">
        <v>0.19</v>
      </c>
      <c r="K31" s="601">
        <v>0.19</v>
      </c>
      <c r="L31" s="149" t="str">
        <f t="shared" si="0"/>
        <v>179</v>
      </c>
      <c r="M31" s="150" t="str">
        <f t="shared" si="1"/>
        <v>NOMBRE DE JOURS OUVRABLE SERVICE</v>
      </c>
      <c r="N31" s="151">
        <f>+IF(OR($Q31=Parametres!$G$2,$Q31=Parametres!$G$3),I31,C31)</f>
        <v>0</v>
      </c>
      <c r="O31" s="151">
        <f>+IF(OR($Q31=Parametres!$G$2,$Q31=Parametres!$G$3),J31,D31)</f>
        <v>0.19</v>
      </c>
      <c r="P31" s="151">
        <f>+IF(OR($Q31=Parametres!$G$2,$Q31=Parametres!$G$3),K31,E31)</f>
        <v>0.19</v>
      </c>
      <c r="Q31" s="150" t="str">
        <f t="shared" si="2"/>
        <v>1-Mémo</v>
      </c>
      <c r="R31" s="149" t="str">
        <f t="shared" si="3"/>
        <v>179</v>
      </c>
      <c r="S31" s="150" t="str">
        <f t="shared" si="4"/>
        <v>_</v>
      </c>
      <c r="T31" s="152" t="str">
        <f>+VLOOKUP($L31,Data_Validation!$A:$D,1,0)</f>
        <v>179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358</v>
      </c>
      <c r="B32" s="708" t="s">
        <v>371</v>
      </c>
      <c r="C32" s="710">
        <v>0</v>
      </c>
      <c r="D32" s="710">
        <v>700</v>
      </c>
      <c r="E32" s="710">
        <v>700</v>
      </c>
      <c r="F32" s="708" t="s">
        <v>2225</v>
      </c>
      <c r="G32" s="708" t="s">
        <v>371</v>
      </c>
      <c r="H32" s="657" t="s">
        <v>3000</v>
      </c>
      <c r="I32" s="656"/>
      <c r="J32" s="656"/>
      <c r="K32" s="656"/>
      <c r="L32" s="149" t="str">
        <f t="shared" si="0"/>
        <v>200</v>
      </c>
      <c r="M32" s="150" t="str">
        <f t="shared" si="1"/>
        <v>PETITE CAISSE</v>
      </c>
      <c r="N32" s="151">
        <f>+IF(OR($Q32=Parametres!$G$2,$Q32=Parametres!$G$3),I32,C32)</f>
        <v>0</v>
      </c>
      <c r="O32" s="151">
        <f>+IF(OR($Q32=Parametres!$G$2,$Q32=Parametres!$G$3),J32,D32)</f>
        <v>700</v>
      </c>
      <c r="P32" s="151">
        <f>+IF(OR($Q32=Parametres!$G$2,$Q32=Parametres!$G$3),K32,E32)</f>
        <v>700</v>
      </c>
      <c r="Q32" s="150" t="str">
        <f t="shared" si="2"/>
        <v>2-Actifs</v>
      </c>
      <c r="R32" s="149" t="str">
        <f t="shared" si="3"/>
        <v>200</v>
      </c>
      <c r="S32" s="150" t="str">
        <f t="shared" si="4"/>
        <v>_</v>
      </c>
      <c r="T32" s="152" t="str">
        <f>+VLOOKUP($L32,Data_Validation!$A:$D,1,0)</f>
        <v>200</v>
      </c>
      <c r="U32" s="152" t="str">
        <f>+VLOOKUP($L32,Data_Validation!$A:$D,3,0)</f>
        <v>Bilan</v>
      </c>
      <c r="V32" s="152" t="str">
        <f>+VLOOKUP($L32,Data_Validation!$A:$D,4,0)</f>
        <v>encaisse</v>
      </c>
      <c r="W32" s="152" t="str">
        <f>+VLOOKUP($L32,Data_Validation!$A:$E,5,0)</f>
        <v>$</v>
      </c>
      <c r="X32" s="152">
        <f>+VLOOKUP($L32,Data_Validation!$A:$F,6,0)</f>
        <v>0</v>
      </c>
    </row>
    <row r="33" spans="1:24" ht="15" customHeight="1">
      <c r="A33" s="708" t="s">
        <v>1069</v>
      </c>
      <c r="B33" s="708" t="s">
        <v>359</v>
      </c>
      <c r="C33" s="710">
        <v>0</v>
      </c>
      <c r="D33" s="710">
        <v>466733.09</v>
      </c>
      <c r="E33" s="710">
        <v>466733.09</v>
      </c>
      <c r="F33" s="708" t="s">
        <v>2225</v>
      </c>
      <c r="G33" s="708" t="s">
        <v>359</v>
      </c>
      <c r="H33" s="664" t="s">
        <v>3000</v>
      </c>
      <c r="I33" s="663"/>
      <c r="J33" s="663"/>
      <c r="K33" s="663"/>
      <c r="L33" s="149" t="str">
        <f t="shared" si="0"/>
        <v>202</v>
      </c>
      <c r="M33" s="150" t="str">
        <f t="shared" si="1"/>
        <v>ENCAISSE</v>
      </c>
      <c r="N33" s="151">
        <f>+IF(OR($Q33=Parametres!$G$2,$Q33=Parametres!$G$3),I33,C33)</f>
        <v>0</v>
      </c>
      <c r="O33" s="151">
        <f>+IF(OR($Q33=Parametres!$G$2,$Q33=Parametres!$G$3),J33,D33)</f>
        <v>466733.09</v>
      </c>
      <c r="P33" s="151">
        <f>+IF(OR($Q33=Parametres!$G$2,$Q33=Parametres!$G$3),K33,E33)</f>
        <v>466733.09</v>
      </c>
      <c r="Q33" s="150" t="str">
        <f t="shared" si="2"/>
        <v>2-Actifs</v>
      </c>
      <c r="R33" s="149" t="str">
        <f t="shared" si="3"/>
        <v>202</v>
      </c>
      <c r="S33" s="150" t="str">
        <f t="shared" si="4"/>
        <v>_</v>
      </c>
      <c r="T33" s="152" t="str">
        <f>+VLOOKUP($L33,Data_Validation!$A:$D,1,0)</f>
        <v>202</v>
      </c>
      <c r="U33" s="152" t="str">
        <f>+VLOOKUP($L33,Data_Validation!$A:$D,3,0)</f>
        <v>Bilan</v>
      </c>
      <c r="V33" s="152" t="str">
        <f>+VLOOKUP($L33,Data_Validation!$A:$D,4,0)</f>
        <v>encaisse</v>
      </c>
      <c r="W33" s="152" t="str">
        <f>+VLOOKUP($L33,Data_Validation!$A:$E,5,0)</f>
        <v>$</v>
      </c>
      <c r="X33" s="152">
        <f>+VLOOKUP($L33,Data_Validation!$A:$F,6,0)</f>
        <v>0</v>
      </c>
    </row>
    <row r="34" spans="1:24" ht="15.75" customHeight="1">
      <c r="A34" s="708" t="s">
        <v>2336</v>
      </c>
      <c r="B34" s="708" t="s">
        <v>2337</v>
      </c>
      <c r="C34" s="710">
        <v>0</v>
      </c>
      <c r="D34" s="710">
        <v>1300000</v>
      </c>
      <c r="E34" s="710">
        <v>1300000</v>
      </c>
      <c r="F34" s="708" t="s">
        <v>2225</v>
      </c>
      <c r="G34" s="708" t="s">
        <v>359</v>
      </c>
      <c r="H34" s="664" t="s">
        <v>3000</v>
      </c>
      <c r="I34" s="663"/>
      <c r="J34" s="663"/>
      <c r="K34" s="663"/>
      <c r="L34" s="149" t="str">
        <f t="shared" si="0"/>
        <v>202B</v>
      </c>
      <c r="M34" s="150" t="str">
        <f t="shared" si="1"/>
        <v>PAIEMENTS FORFAITAIRES FLOOR PLAN</v>
      </c>
      <c r="N34" s="151">
        <f>+IF(OR($Q34=Parametres!$G$2,$Q34=Parametres!$G$3),I34,C34)</f>
        <v>0</v>
      </c>
      <c r="O34" s="151">
        <f>+IF(OR($Q34=Parametres!$G$2,$Q34=Parametres!$G$3),J34,D34)</f>
        <v>1300000</v>
      </c>
      <c r="P34" s="151">
        <f>+IF(OR($Q34=Parametres!$G$2,$Q34=Parametres!$G$3),K34,E34)</f>
        <v>1300000</v>
      </c>
      <c r="Q34" s="150" t="str">
        <f t="shared" si="2"/>
        <v>2-Actifs</v>
      </c>
      <c r="R34" s="149" t="str">
        <f t="shared" si="3"/>
        <v>202</v>
      </c>
      <c r="S34" s="150" t="str">
        <f t="shared" si="4"/>
        <v>_</v>
      </c>
      <c r="T34" s="152" t="str">
        <f>+VLOOKUP($L34,Data_Validation!$A:$D,1,0)</f>
        <v>202B</v>
      </c>
      <c r="U34" s="152" t="str">
        <f>+VLOOKUP($L34,Data_Validation!$A:$D,3,0)</f>
        <v>bilan</v>
      </c>
      <c r="V34" s="152" t="str">
        <f>+VLOOKUP($L34,Data_Validation!$A:$D,4,0)</f>
        <v>Encaisse</v>
      </c>
      <c r="W34" s="152" t="str">
        <f>+VLOOKUP($L34,Data_Validation!$A:$E,5,0)</f>
        <v>$</v>
      </c>
      <c r="X34" s="152">
        <f>+VLOOKUP($L34,Data_Validation!$A:$F,6,0)</f>
        <v>0</v>
      </c>
    </row>
    <row r="35" spans="1:24" ht="15" customHeight="1">
      <c r="A35" s="708" t="s">
        <v>399</v>
      </c>
      <c r="B35" s="708" t="s">
        <v>370</v>
      </c>
      <c r="C35" s="710">
        <v>0</v>
      </c>
      <c r="D35" s="710">
        <v>232113.53</v>
      </c>
      <c r="E35" s="710">
        <v>232113.53</v>
      </c>
      <c r="F35" s="708" t="s">
        <v>2225</v>
      </c>
      <c r="G35" s="708" t="s">
        <v>370</v>
      </c>
      <c r="H35" s="657" t="s">
        <v>3000</v>
      </c>
      <c r="I35" s="656"/>
      <c r="J35" s="656"/>
      <c r="K35" s="656"/>
      <c r="L35" s="149" t="str">
        <f t="shared" si="0"/>
        <v>205</v>
      </c>
      <c r="M35" s="150" t="str">
        <f t="shared" si="1"/>
        <v>CONTRATS EN TRANSIT</v>
      </c>
      <c r="N35" s="151">
        <f>+IF(OR($Q35=Parametres!$G$2,$Q35=Parametres!$G$3),I35,C35)</f>
        <v>0</v>
      </c>
      <c r="O35" s="151">
        <f>+IF(OR($Q35=Parametres!$G$2,$Q35=Parametres!$G$3),J35,D35)</f>
        <v>232113.53</v>
      </c>
      <c r="P35" s="151">
        <f>+IF(OR($Q35=Parametres!$G$2,$Q35=Parametres!$G$3),K35,E35)</f>
        <v>232113.53</v>
      </c>
      <c r="Q35" s="150" t="str">
        <f t="shared" si="2"/>
        <v>2-Actifs</v>
      </c>
      <c r="R35" s="149" t="str">
        <f t="shared" si="3"/>
        <v>205</v>
      </c>
      <c r="S35" s="150" t="str">
        <f t="shared" si="4"/>
        <v>_</v>
      </c>
      <c r="T35" s="152" t="str">
        <f>+VLOOKUP($L35,Data_Validation!$A:$D,1,0)</f>
        <v>205</v>
      </c>
      <c r="U35" s="152" t="str">
        <f>+VLOOKUP($L35,Data_Validation!$A:$D,3,0)</f>
        <v>Bilan</v>
      </c>
      <c r="V35" s="152" t="str">
        <f>+VLOOKUP($L35,Data_Validation!$A:$D,4,0)</f>
        <v>Recevables Contrats en Transit</v>
      </c>
      <c r="W35" s="152" t="str">
        <f>+VLOOKUP($L35,Data_Validation!$A:$E,5,0)</f>
        <v>$</v>
      </c>
      <c r="X35" s="152">
        <f>+VLOOKUP($L35,Data_Validation!$A:$F,6,0)</f>
        <v>0</v>
      </c>
    </row>
    <row r="36" spans="1:24" ht="15" customHeight="1">
      <c r="A36" s="708" t="s">
        <v>1093</v>
      </c>
      <c r="B36" s="708" t="s">
        <v>375</v>
      </c>
      <c r="C36" s="710">
        <v>0</v>
      </c>
      <c r="D36" s="710">
        <v>-1253.6199999999999</v>
      </c>
      <c r="E36" s="710">
        <v>-1253.6199999999999</v>
      </c>
      <c r="F36" s="708" t="s">
        <v>2225</v>
      </c>
      <c r="G36" s="708" t="s">
        <v>375</v>
      </c>
      <c r="H36" s="664" t="s">
        <v>3000</v>
      </c>
      <c r="I36" s="663"/>
      <c r="J36" s="663"/>
      <c r="K36" s="663"/>
      <c r="L36" s="149" t="str">
        <f t="shared" si="0"/>
        <v>210</v>
      </c>
      <c r="M36" s="150" t="str">
        <f t="shared" si="1"/>
        <v>RECEVABLES VEHICULES</v>
      </c>
      <c r="N36" s="151">
        <f>+IF(OR($Q36=Parametres!$G$2,$Q36=Parametres!$G$3),I36,C36)</f>
        <v>0</v>
      </c>
      <c r="O36" s="151">
        <f>+IF(OR($Q36=Parametres!$G$2,$Q36=Parametres!$G$3),J36,D36)</f>
        <v>-1253.6199999999999</v>
      </c>
      <c r="P36" s="151">
        <f>+IF(OR($Q36=Parametres!$G$2,$Q36=Parametres!$G$3),K36,E36)</f>
        <v>-1253.6199999999999</v>
      </c>
      <c r="Q36" s="150" t="str">
        <f t="shared" si="2"/>
        <v>2-Actifs</v>
      </c>
      <c r="R36" s="149" t="str">
        <f t="shared" si="3"/>
        <v>210</v>
      </c>
      <c r="S36" s="150" t="str">
        <f t="shared" si="4"/>
        <v>_</v>
      </c>
      <c r="T36" s="152" t="str">
        <f>+VLOOKUP($L36,Data_Validation!$A:$D,1,0)</f>
        <v>210</v>
      </c>
      <c r="U36" s="152" t="str">
        <f>+VLOOKUP($L36,Data_Validation!$A:$D,3,0)</f>
        <v>Bilan</v>
      </c>
      <c r="V36" s="152" t="str">
        <f>+VLOOKUP($L36,Data_Validation!$A:$D,4,0)</f>
        <v>Recevables Véhicules</v>
      </c>
      <c r="W36" s="152" t="str">
        <f>+VLOOKUP($L36,Data_Validation!$A:$E,5,0)</f>
        <v>$</v>
      </c>
      <c r="X36" s="152">
        <f>+VLOOKUP($L36,Data_Validation!$A:$F,6,0)</f>
        <v>0</v>
      </c>
    </row>
    <row r="37" spans="1:24" ht="15" customHeight="1">
      <c r="A37" s="708" t="s">
        <v>1073</v>
      </c>
      <c r="B37" s="708" t="s">
        <v>397</v>
      </c>
      <c r="C37" s="710">
        <v>0</v>
      </c>
      <c r="D37" s="710">
        <v>307502.98</v>
      </c>
      <c r="E37" s="710">
        <v>307502.98</v>
      </c>
      <c r="F37" s="708" t="s">
        <v>2225</v>
      </c>
      <c r="G37" s="708" t="s">
        <v>375</v>
      </c>
      <c r="H37" s="657" t="s">
        <v>3000</v>
      </c>
      <c r="I37" s="656"/>
      <c r="J37" s="656"/>
      <c r="K37" s="656"/>
      <c r="L37" s="149" t="str">
        <f t="shared" si="0"/>
        <v>210A</v>
      </c>
      <c r="M37" s="150" t="str">
        <f t="shared" si="1"/>
        <v>WHOLESALE &amp; ECHANGE A/R</v>
      </c>
      <c r="N37" s="151">
        <f>+IF(OR($Q37=Parametres!$G$2,$Q37=Parametres!$G$3),I37,C37)</f>
        <v>0</v>
      </c>
      <c r="O37" s="151">
        <f>+IF(OR($Q37=Parametres!$G$2,$Q37=Parametres!$G$3),J37,D37)</f>
        <v>307502.98</v>
      </c>
      <c r="P37" s="151">
        <f>+IF(OR($Q37=Parametres!$G$2,$Q37=Parametres!$G$3),K37,E37)</f>
        <v>307502.98</v>
      </c>
      <c r="Q37" s="150" t="str">
        <f t="shared" si="2"/>
        <v>2-Actifs</v>
      </c>
      <c r="R37" s="149" t="str">
        <f t="shared" si="3"/>
        <v>210</v>
      </c>
      <c r="S37" s="150" t="str">
        <f t="shared" si="4"/>
        <v>_</v>
      </c>
      <c r="T37" s="152" t="str">
        <f>+VLOOKUP($L37,Data_Validation!$A:$D,1,0)</f>
        <v>210A</v>
      </c>
      <c r="U37" s="152" t="str">
        <f>+VLOOKUP($L37,Data_Validation!$A:$D,3,0)</f>
        <v>Bilan</v>
      </c>
      <c r="V37" s="152" t="str">
        <f>+VLOOKUP($L37,Data_Validation!$A:$D,4,0)</f>
        <v>Recevables Véhicules</v>
      </c>
      <c r="W37" s="152" t="str">
        <f>+VLOOKUP($L37,Data_Validation!$A:$E,5,0)</f>
        <v>$</v>
      </c>
      <c r="X37" s="152">
        <f>+VLOOKUP($L37,Data_Validation!$A:$F,6,0)</f>
        <v>0</v>
      </c>
    </row>
    <row r="38" spans="1:24" ht="15" customHeight="1">
      <c r="A38" s="708" t="s">
        <v>444</v>
      </c>
      <c r="B38" s="708" t="s">
        <v>372</v>
      </c>
      <c r="C38" s="710">
        <v>0</v>
      </c>
      <c r="D38" s="710">
        <v>42239.3</v>
      </c>
      <c r="E38" s="710">
        <v>42239.3</v>
      </c>
      <c r="F38" s="708" t="s">
        <v>2225</v>
      </c>
      <c r="G38" s="708" t="s">
        <v>372</v>
      </c>
      <c r="H38" s="709" t="s">
        <v>3000</v>
      </c>
      <c r="I38" s="709"/>
      <c r="J38" s="709"/>
      <c r="K38" s="709"/>
      <c r="L38" s="149" t="str">
        <f t="shared" si="0"/>
        <v>220</v>
      </c>
      <c r="M38" s="150" t="str">
        <f t="shared" si="1"/>
        <v>RECEVABLES PIECES ET SERVICE</v>
      </c>
      <c r="N38" s="151">
        <f>+IF(OR($Q38=Parametres!$G$2,$Q38=Parametres!$G$3),I38,C38)</f>
        <v>0</v>
      </c>
      <c r="O38" s="151">
        <f>+IF(OR($Q38=Parametres!$G$2,$Q38=Parametres!$G$3),J38,D38)</f>
        <v>42239.3</v>
      </c>
      <c r="P38" s="151">
        <f>+IF(OR($Q38=Parametres!$G$2,$Q38=Parametres!$G$3),K38,E38)</f>
        <v>42239.3</v>
      </c>
      <c r="Q38" s="150" t="str">
        <f t="shared" si="2"/>
        <v>2-Actifs</v>
      </c>
      <c r="R38" s="149" t="str">
        <f t="shared" si="3"/>
        <v>220</v>
      </c>
      <c r="S38" s="150" t="str">
        <f t="shared" si="4"/>
        <v>_</v>
      </c>
      <c r="T38" s="152" t="str">
        <f>+VLOOKUP($L38,Data_Validation!$A:$D,1,0)</f>
        <v>220</v>
      </c>
      <c r="U38" s="152" t="str">
        <f>+VLOOKUP($L38,Data_Validation!$A:$D,3,0)</f>
        <v>Bilan</v>
      </c>
      <c r="V38" s="152" t="str">
        <f>+VLOOKUP($L38,Data_Validation!$A:$D,4,0)</f>
        <v>Recevables Pièces et Service</v>
      </c>
      <c r="W38" s="152" t="str">
        <f>+VLOOKUP($L38,Data_Validation!$A:$E,5,0)</f>
        <v>$</v>
      </c>
      <c r="X38" s="152">
        <f>+VLOOKUP($L38,Data_Validation!$A:$F,6,0)</f>
        <v>0</v>
      </c>
    </row>
    <row r="39" spans="1:24" ht="15" customHeight="1">
      <c r="A39" s="708" t="s">
        <v>2937</v>
      </c>
      <c r="B39" s="708" t="s">
        <v>2938</v>
      </c>
      <c r="C39" s="710">
        <v>0</v>
      </c>
      <c r="D39" s="710">
        <v>-10000</v>
      </c>
      <c r="E39" s="710">
        <v>-10000</v>
      </c>
      <c r="F39" s="708" t="s">
        <v>2225</v>
      </c>
      <c r="G39" s="708" t="s">
        <v>372</v>
      </c>
      <c r="H39" s="664" t="s">
        <v>3000</v>
      </c>
      <c r="I39" s="663"/>
      <c r="J39" s="663"/>
      <c r="K39" s="663"/>
      <c r="L39" s="149" t="str">
        <f t="shared" si="0"/>
        <v>220C</v>
      </c>
      <c r="M39" s="150" t="str">
        <f t="shared" si="1"/>
        <v>RECEVABLE RECOURS COLLECTIF</v>
      </c>
      <c r="N39" s="151">
        <f>+IF(OR($Q39=Parametres!$G$2,$Q39=Parametres!$G$3),I39,C39)</f>
        <v>0</v>
      </c>
      <c r="O39" s="497">
        <f>+IF(OR($Q39=Parametres!$G$2,$Q39=Parametres!$G$3),J39,D39)</f>
        <v>-10000</v>
      </c>
      <c r="P39" s="151">
        <f>+IF(OR($Q39=Parametres!$G$2,$Q39=Parametres!$G$3),K39,E39)</f>
        <v>-10000</v>
      </c>
      <c r="Q39" s="150" t="str">
        <f t="shared" si="2"/>
        <v>2-Actifs</v>
      </c>
      <c r="R39" s="149" t="str">
        <f t="shared" si="3"/>
        <v>220</v>
      </c>
      <c r="S39" s="150" t="str">
        <f t="shared" si="4"/>
        <v>_</v>
      </c>
      <c r="T39" s="152" t="str">
        <f>+VLOOKUP($L39,Data_Validation!$A:$D,1,0)</f>
        <v>220C</v>
      </c>
      <c r="U39" s="152" t="str">
        <f>+VLOOKUP($L39,Data_Validation!$A:$D,3,0)</f>
        <v>Bilan</v>
      </c>
      <c r="V39" s="152" t="str">
        <f>+VLOOKUP($L39,Data_Validation!$A:$D,4,0)</f>
        <v>Autres Courus</v>
      </c>
      <c r="W39" s="152" t="str">
        <f>+VLOOKUP($L39,Data_Validation!$A:$E,5,0)</f>
        <v>$</v>
      </c>
      <c r="X39" s="152">
        <f>+VLOOKUP($L39,Data_Validation!$A:$F,6,0)</f>
        <v>0</v>
      </c>
    </row>
    <row r="40" spans="1:24" ht="15.75" customHeight="1">
      <c r="A40" s="708" t="s">
        <v>1114</v>
      </c>
      <c r="B40" s="708" t="s">
        <v>385</v>
      </c>
      <c r="C40" s="710">
        <v>0</v>
      </c>
      <c r="D40" s="710">
        <v>39769.550000000003</v>
      </c>
      <c r="E40" s="710">
        <v>39769.550000000003</v>
      </c>
      <c r="F40" s="708" t="s">
        <v>2225</v>
      </c>
      <c r="G40" s="708" t="s">
        <v>385</v>
      </c>
      <c r="H40" s="664" t="s">
        <v>3000</v>
      </c>
      <c r="I40" s="664"/>
      <c r="J40" s="664"/>
      <c r="K40" s="664"/>
      <c r="L40" s="149" t="str">
        <f t="shared" si="0"/>
        <v>221</v>
      </c>
      <c r="M40" s="150" t="str">
        <f t="shared" si="1"/>
        <v>BONIS A/R MANUFACTURIER</v>
      </c>
      <c r="N40" s="151">
        <f>+IF(OR($Q40=Parametres!$G$2,$Q40=Parametres!$G$3),I40,C40)</f>
        <v>0</v>
      </c>
      <c r="O40" s="497">
        <f>+IF(OR($Q40=Parametres!$G$2,$Q40=Parametres!$G$3),J40,D40)</f>
        <v>39769.550000000003</v>
      </c>
      <c r="P40" s="151">
        <f>+IF(OR($Q40=Parametres!$G$2,$Q40=Parametres!$G$3),K40,E40)</f>
        <v>39769.550000000003</v>
      </c>
      <c r="Q40" s="150" t="str">
        <f t="shared" si="2"/>
        <v>2-Actifs</v>
      </c>
      <c r="R40" s="149" t="str">
        <f t="shared" si="3"/>
        <v>221</v>
      </c>
      <c r="S40" s="150" t="str">
        <f t="shared" si="4"/>
        <v>_</v>
      </c>
      <c r="T40" s="152" t="str">
        <f>+VLOOKUP($L40,Data_Validation!$A:$D,1,0)</f>
        <v>221</v>
      </c>
      <c r="U40" s="152" t="str">
        <f>+VLOOKUP($L40,Data_Validation!$A:$D,3,0)</f>
        <v>Bilan</v>
      </c>
      <c r="V40" s="152" t="str">
        <f>+VLOOKUP($L40,Data_Validation!$A:$D,4,0)</f>
        <v>Recevables Manufacturier</v>
      </c>
      <c r="W40" s="152" t="str">
        <f>+VLOOKUP($L40,Data_Validation!$A:$E,5,0)</f>
        <v>$</v>
      </c>
      <c r="X40" s="152">
        <f>+VLOOKUP($L40,Data_Validation!$A:$F,6,0)</f>
        <v>0</v>
      </c>
    </row>
    <row r="41" spans="1:24" ht="15" customHeight="1">
      <c r="A41" s="708" t="s">
        <v>1833</v>
      </c>
      <c r="B41" s="708" t="s">
        <v>451</v>
      </c>
      <c r="C41" s="710">
        <v>0</v>
      </c>
      <c r="D41" s="710">
        <v>34772</v>
      </c>
      <c r="E41" s="710">
        <v>34772</v>
      </c>
      <c r="F41" s="708" t="s">
        <v>2225</v>
      </c>
      <c r="G41" s="708" t="s">
        <v>451</v>
      </c>
      <c r="H41" s="657" t="s">
        <v>3000</v>
      </c>
      <c r="I41" s="656"/>
      <c r="J41" s="656"/>
      <c r="K41" s="656"/>
      <c r="L41" s="149" t="str">
        <f t="shared" si="0"/>
        <v>221A</v>
      </c>
      <c r="M41" s="150" t="str">
        <f t="shared" si="1"/>
        <v>PROGRAMMES A/R MANUFACTURIER</v>
      </c>
      <c r="N41" s="151">
        <f>+IF(OR($Q41=Parametres!$G$2,$Q41=Parametres!$G$3),I41,C41)</f>
        <v>0</v>
      </c>
      <c r="O41" s="497">
        <f>+IF(OR($Q41=Parametres!$G$2,$Q41=Parametres!$G$3),J41,D41)</f>
        <v>34772</v>
      </c>
      <c r="P41" s="151">
        <f>+IF(OR($Q41=Parametres!$G$2,$Q41=Parametres!$G$3),K41,E41)</f>
        <v>34772</v>
      </c>
      <c r="Q41" s="150" t="str">
        <f t="shared" si="2"/>
        <v>2-Actifs</v>
      </c>
      <c r="R41" s="149" t="str">
        <f t="shared" si="3"/>
        <v>221A</v>
      </c>
      <c r="S41" s="150" t="str">
        <f t="shared" si="4"/>
        <v>_</v>
      </c>
      <c r="T41" s="152" t="str">
        <f>+VLOOKUP($L41,Data_Validation!$A:$D,1,0)</f>
        <v>221A</v>
      </c>
      <c r="U41" s="152" t="str">
        <f>+VLOOKUP($L41,Data_Validation!$A:$D,3,0)</f>
        <v>Bilan</v>
      </c>
      <c r="V41" s="152" t="str">
        <f>+VLOOKUP($L41,Data_Validation!$A:$D,4,0)</f>
        <v>Recevables Manufacturier</v>
      </c>
      <c r="W41" s="152" t="str">
        <f>+VLOOKUP($L41,Data_Validation!$A:$E,5,0)</f>
        <v>$</v>
      </c>
      <c r="X41" s="152">
        <f>+VLOOKUP($L41,Data_Validation!$A:$F,6,0)</f>
        <v>0</v>
      </c>
    </row>
    <row r="42" spans="1:24" ht="15" customHeight="1">
      <c r="A42" s="708" t="s">
        <v>1788</v>
      </c>
      <c r="B42" s="708" t="s">
        <v>965</v>
      </c>
      <c r="C42" s="710">
        <v>0</v>
      </c>
      <c r="D42" s="710">
        <v>13736.45</v>
      </c>
      <c r="E42" s="710">
        <v>13736.45</v>
      </c>
      <c r="F42" s="708" t="s">
        <v>2225</v>
      </c>
      <c r="G42" s="708" t="s">
        <v>2246</v>
      </c>
      <c r="H42" s="600" t="s">
        <v>3000</v>
      </c>
      <c r="I42" s="153"/>
      <c r="J42" s="153"/>
      <c r="K42" s="153"/>
      <c r="L42" s="149" t="str">
        <f t="shared" si="0"/>
        <v>222A</v>
      </c>
      <c r="M42" s="150" t="str">
        <f t="shared" si="1"/>
        <v>RECLAMATION GARANTIE A/R BMW</v>
      </c>
      <c r="N42" s="151">
        <f>+IF(OR($Q42=Parametres!$G$2,$Q42=Parametres!$G$3),I42,C42)</f>
        <v>0</v>
      </c>
      <c r="O42" s="151">
        <f>+IF(OR($Q42=Parametres!$G$2,$Q42=Parametres!$G$3),J42,D42)</f>
        <v>13736.45</v>
      </c>
      <c r="P42" s="151">
        <f>+IF(OR($Q42=Parametres!$G$2,$Q42=Parametres!$G$3),K42,E42)</f>
        <v>13736.45</v>
      </c>
      <c r="Q42" s="150" t="str">
        <f t="shared" si="2"/>
        <v>2-Actifs</v>
      </c>
      <c r="R42" s="149" t="str">
        <f t="shared" si="3"/>
        <v>222</v>
      </c>
      <c r="S42" s="150" t="str">
        <f t="shared" si="4"/>
        <v>_</v>
      </c>
      <c r="T42" s="152" t="str">
        <f>+VLOOKUP($L42,Data_Validation!$A:$D,1,0)</f>
        <v>222A</v>
      </c>
      <c r="U42" s="152" t="str">
        <f>+VLOOKUP($L42,Data_Validation!$A:$D,3,0)</f>
        <v>Bilan</v>
      </c>
      <c r="V42" s="152" t="str">
        <f>+VLOOKUP($L42,Data_Validation!$A:$D,4,0)</f>
        <v>Recevables Garantie Manufacturier</v>
      </c>
      <c r="W42" s="152" t="str">
        <f>+VLOOKUP($L42,Data_Validation!$A:$E,5,0)</f>
        <v>$</v>
      </c>
      <c r="X42" s="152">
        <f>+VLOOKUP($L42,Data_Validation!$A:$F,6,0)</f>
        <v>0</v>
      </c>
    </row>
    <row r="43" spans="1:24" ht="15" customHeight="1">
      <c r="A43" s="708" t="s">
        <v>1850</v>
      </c>
      <c r="B43" s="708" t="s">
        <v>352</v>
      </c>
      <c r="C43" s="710">
        <v>0</v>
      </c>
      <c r="D43" s="710">
        <v>1471531.97</v>
      </c>
      <c r="E43" s="710">
        <v>1471531.97</v>
      </c>
      <c r="F43" s="708" t="s">
        <v>2225</v>
      </c>
      <c r="G43" s="708" t="s">
        <v>352</v>
      </c>
      <c r="H43" s="664" t="s">
        <v>3000</v>
      </c>
      <c r="I43" s="664"/>
      <c r="J43" s="664"/>
      <c r="K43" s="664"/>
      <c r="L43" s="149" t="str">
        <f t="shared" si="0"/>
        <v>230</v>
      </c>
      <c r="M43" s="150" t="str">
        <f t="shared" si="1"/>
        <v>INV. VOITURES NEUVES BMW</v>
      </c>
      <c r="N43" s="151">
        <f>+IF(OR($Q43=Parametres!$G$2,$Q43=Parametres!$G$3),I43,C43)</f>
        <v>0</v>
      </c>
      <c r="O43" s="151">
        <f>+IF(OR($Q43=Parametres!$G$2,$Q43=Parametres!$G$3),J43,D43)</f>
        <v>1471531.97</v>
      </c>
      <c r="P43" s="151">
        <f>+IF(OR($Q43=Parametres!$G$2,$Q43=Parametres!$G$3),K43,E43)</f>
        <v>1471531.97</v>
      </c>
      <c r="Q43" s="150" t="str">
        <f t="shared" si="2"/>
        <v>2-Actifs</v>
      </c>
      <c r="R43" s="149" t="str">
        <f t="shared" si="3"/>
        <v>230</v>
      </c>
      <c r="S43" s="150" t="str">
        <f t="shared" si="4"/>
        <v>_</v>
      </c>
      <c r="T43" s="152" t="str">
        <f>+VLOOKUP($L43,Data_Validation!$A:$D,1,0)</f>
        <v>230</v>
      </c>
      <c r="U43" s="152" t="str">
        <f>+VLOOKUP($L43,Data_Validation!$A:$D,3,0)</f>
        <v>Bilan</v>
      </c>
      <c r="V43" s="152" t="str">
        <f>+VLOOKUP($L43,Data_Validation!$A:$D,4,0)</f>
        <v>Inventaire Véhicules Neufs</v>
      </c>
      <c r="W43" s="152" t="str">
        <f>+VLOOKUP($L43,Data_Validation!$A:$E,5,0)</f>
        <v>$</v>
      </c>
      <c r="X43" s="152">
        <f>+VLOOKUP($L43,Data_Validation!$A:$F,6,0)</f>
        <v>0</v>
      </c>
    </row>
    <row r="44" spans="1:24" ht="15.75" customHeight="1">
      <c r="A44" s="708" t="s">
        <v>1074</v>
      </c>
      <c r="B44" s="708" t="s">
        <v>382</v>
      </c>
      <c r="C44" s="710">
        <v>0</v>
      </c>
      <c r="D44" s="710">
        <v>3924777.11</v>
      </c>
      <c r="E44" s="710">
        <v>3924777.11</v>
      </c>
      <c r="F44" s="708" t="s">
        <v>2225</v>
      </c>
      <c r="G44" s="708" t="s">
        <v>382</v>
      </c>
      <c r="H44" s="664" t="s">
        <v>3000</v>
      </c>
      <c r="I44" s="664"/>
      <c r="J44" s="664"/>
      <c r="K44" s="664"/>
      <c r="L44" s="149" t="str">
        <f t="shared" si="0"/>
        <v>232</v>
      </c>
      <c r="M44" s="150" t="str">
        <f t="shared" si="1"/>
        <v>INV. CAMIONS NEUFS BMW</v>
      </c>
      <c r="N44" s="151">
        <f>+IF(OR($Q44=Parametres!$G$2,$Q44=Parametres!$G$3),I44,C44)</f>
        <v>0</v>
      </c>
      <c r="O44" s="497">
        <f>+IF(OR($Q44=Parametres!$G$2,$Q44=Parametres!$G$3),J44,D44)</f>
        <v>3924777.11</v>
      </c>
      <c r="P44" s="151">
        <f>+IF(OR($Q44=Parametres!$G$2,$Q44=Parametres!$G$3),K44,E44)</f>
        <v>3924777.11</v>
      </c>
      <c r="Q44" s="150" t="str">
        <f t="shared" si="2"/>
        <v>2-Actifs</v>
      </c>
      <c r="R44" s="149" t="str">
        <f t="shared" si="3"/>
        <v>232</v>
      </c>
      <c r="S44" s="150" t="str">
        <f t="shared" si="4"/>
        <v>_</v>
      </c>
      <c r="T44" s="152" t="str">
        <f>+VLOOKUP($L44,Data_Validation!$A:$D,1,0)</f>
        <v>232</v>
      </c>
      <c r="U44" s="152" t="str">
        <f>+VLOOKUP($L44,Data_Validation!$A:$D,3,0)</f>
        <v>Bilan</v>
      </c>
      <c r="V44" s="152" t="str">
        <f>+VLOOKUP($L44,Data_Validation!$A:$D,4,0)</f>
        <v>Inventaire Véhicules Neufs</v>
      </c>
      <c r="W44" s="152" t="str">
        <f>+VLOOKUP($L44,Data_Validation!$A:$E,5,0)</f>
        <v>$</v>
      </c>
      <c r="X44" s="152">
        <f>+VLOOKUP($L44,Data_Validation!$A:$F,6,0)</f>
        <v>0</v>
      </c>
    </row>
    <row r="45" spans="1:24" ht="15" customHeight="1">
      <c r="A45" s="708" t="s">
        <v>1176</v>
      </c>
      <c r="B45" s="708" t="s">
        <v>353</v>
      </c>
      <c r="C45" s="710">
        <v>0</v>
      </c>
      <c r="D45" s="710">
        <v>1158064.46</v>
      </c>
      <c r="E45" s="710">
        <v>1158064.46</v>
      </c>
      <c r="F45" s="708" t="s">
        <v>2225</v>
      </c>
      <c r="G45" s="708" t="s">
        <v>353</v>
      </c>
      <c r="H45" s="664" t="s">
        <v>3000</v>
      </c>
      <c r="I45" s="663"/>
      <c r="J45" s="663"/>
      <c r="K45" s="663"/>
      <c r="L45" s="149" t="str">
        <f t="shared" si="0"/>
        <v>234</v>
      </c>
      <c r="M45" s="150" t="str">
        <f t="shared" si="1"/>
        <v>INVENTAIRE VEHICULES I</v>
      </c>
      <c r="N45" s="151">
        <f>+IF(OR($Q45=Parametres!$G$2,$Q45=Parametres!$G$3),I45,C45)</f>
        <v>0</v>
      </c>
      <c r="O45" s="151">
        <f>+IF(OR($Q45=Parametres!$G$2,$Q45=Parametres!$G$3),J45,D45)</f>
        <v>1158064.46</v>
      </c>
      <c r="P45" s="151">
        <f>+IF(OR($Q45=Parametres!$G$2,$Q45=Parametres!$G$3),K45,E45)</f>
        <v>1158064.46</v>
      </c>
      <c r="Q45" s="150" t="str">
        <f t="shared" si="2"/>
        <v>2-Actifs</v>
      </c>
      <c r="R45" s="149" t="str">
        <f t="shared" si="3"/>
        <v>234</v>
      </c>
      <c r="S45" s="150" t="str">
        <f t="shared" si="4"/>
        <v>_</v>
      </c>
      <c r="T45" s="152" t="str">
        <f>+VLOOKUP($L45,Data_Validation!$A:$D,1,0)</f>
        <v>234</v>
      </c>
      <c r="U45" s="152" t="str">
        <f>+VLOOKUP($L45,Data_Validation!$A:$D,3,0)</f>
        <v>Bilan</v>
      </c>
      <c r="V45" s="152" t="str">
        <f>+VLOOKUP($L45,Data_Validation!$A:$D,4,0)</f>
        <v>Inventaire Véhicules Neufs</v>
      </c>
      <c r="W45" s="152" t="str">
        <f>+VLOOKUP($L45,Data_Validation!$A:$E,5,0)</f>
        <v>$</v>
      </c>
      <c r="X45" s="152">
        <f>+VLOOKUP($L45,Data_Validation!$A:$F,6,0)</f>
        <v>0</v>
      </c>
    </row>
    <row r="46" spans="1:24" ht="15" customHeight="1">
      <c r="A46" s="708" t="s">
        <v>1083</v>
      </c>
      <c r="B46" s="708" t="s">
        <v>408</v>
      </c>
      <c r="C46" s="710">
        <v>0</v>
      </c>
      <c r="D46" s="710">
        <v>399488.2</v>
      </c>
      <c r="E46" s="710">
        <v>399488.2</v>
      </c>
      <c r="F46" s="708" t="s">
        <v>2225</v>
      </c>
      <c r="G46" s="708" t="s">
        <v>408</v>
      </c>
      <c r="H46" s="664" t="s">
        <v>3000</v>
      </c>
      <c r="I46" s="663"/>
      <c r="J46" s="663"/>
      <c r="K46" s="663"/>
      <c r="L46" s="149" t="str">
        <f t="shared" si="0"/>
        <v>240A</v>
      </c>
      <c r="M46" s="150" t="str">
        <f t="shared" si="1"/>
        <v>INV. VOITURES USAGEES BMW</v>
      </c>
      <c r="N46" s="151">
        <f>+IF(OR($Q46=Parametres!$G$2,$Q46=Parametres!$G$3),I46,C46)</f>
        <v>0</v>
      </c>
      <c r="O46" s="151">
        <f>+IF(OR($Q46=Parametres!$G$2,$Q46=Parametres!$G$3),J46,D46)</f>
        <v>399488.2</v>
      </c>
      <c r="P46" s="151">
        <f>+IF(OR($Q46=Parametres!$G$2,$Q46=Parametres!$G$3),K46,E46)</f>
        <v>399488.2</v>
      </c>
      <c r="Q46" s="150" t="str">
        <f t="shared" si="2"/>
        <v>2-Actifs</v>
      </c>
      <c r="R46" s="149" t="str">
        <f t="shared" si="3"/>
        <v>240A</v>
      </c>
      <c r="S46" s="150" t="str">
        <f t="shared" si="4"/>
        <v>_</v>
      </c>
      <c r="T46" s="152" t="str">
        <f>+VLOOKUP($L46,Data_Validation!$A:$D,1,0)</f>
        <v>240A</v>
      </c>
      <c r="U46" s="152" t="str">
        <f>+VLOOKUP($L46,Data_Validation!$A:$D,3,0)</f>
        <v>Bilan</v>
      </c>
      <c r="V46" s="152" t="str">
        <f>+VLOOKUP($L46,Data_Validation!$A:$D,4,0)</f>
        <v>Inventaire Véhicules Usagés</v>
      </c>
      <c r="W46" s="152" t="str">
        <f>+VLOOKUP($L46,Data_Validation!$A:$E,5,0)</f>
        <v>$</v>
      </c>
      <c r="X46" s="152">
        <f>+VLOOKUP($L46,Data_Validation!$A:$F,6,0)</f>
        <v>0</v>
      </c>
    </row>
    <row r="47" spans="1:24" ht="15" customHeight="1">
      <c r="A47" s="708" t="s">
        <v>1092</v>
      </c>
      <c r="B47" s="708" t="s">
        <v>432</v>
      </c>
      <c r="C47" s="710">
        <v>0</v>
      </c>
      <c r="D47" s="710">
        <v>245660.9</v>
      </c>
      <c r="E47" s="710">
        <v>245660.9</v>
      </c>
      <c r="F47" s="708" t="s">
        <v>2225</v>
      </c>
      <c r="G47" s="708" t="s">
        <v>432</v>
      </c>
      <c r="H47" s="664" t="s">
        <v>3000</v>
      </c>
      <c r="I47" s="664"/>
      <c r="J47" s="664"/>
      <c r="K47" s="664"/>
      <c r="L47" s="149" t="str">
        <f t="shared" si="0"/>
        <v>240C</v>
      </c>
      <c r="M47" s="150" t="str">
        <f t="shared" si="1"/>
        <v>INV. VEHICULES USAGES AUTRES</v>
      </c>
      <c r="N47" s="151">
        <f>+IF(OR($Q47=Parametres!$G$2,$Q47=Parametres!$G$3),I47,C47)</f>
        <v>0</v>
      </c>
      <c r="O47" s="151">
        <f>+IF(OR($Q47=Parametres!$G$2,$Q47=Parametres!$G$3),J47,D47)</f>
        <v>245660.9</v>
      </c>
      <c r="P47" s="151">
        <f>+IF(OR($Q47=Parametres!$G$2,$Q47=Parametres!$G$3),K47,E47)</f>
        <v>245660.9</v>
      </c>
      <c r="Q47" s="150" t="str">
        <f t="shared" si="2"/>
        <v>2-Actifs</v>
      </c>
      <c r="R47" s="149" t="str">
        <f t="shared" si="3"/>
        <v>240C</v>
      </c>
      <c r="S47" s="150" t="str">
        <f t="shared" si="4"/>
        <v>_</v>
      </c>
      <c r="T47" s="152" t="str">
        <f>+VLOOKUP($L47,Data_Validation!$A:$D,1,0)</f>
        <v>240C</v>
      </c>
      <c r="U47" s="152" t="str">
        <f>+VLOOKUP($L47,Data_Validation!$A:$D,3,0)</f>
        <v>Bilan</v>
      </c>
      <c r="V47" s="152" t="str">
        <f>+VLOOKUP($L47,Data_Validation!$A:$D,4,0)</f>
        <v>Inventaire Véhicules Usagés</v>
      </c>
      <c r="W47" s="152" t="str">
        <f>+VLOOKUP($L47,Data_Validation!$A:$E,5,0)</f>
        <v>$</v>
      </c>
      <c r="X47" s="152">
        <f>+VLOOKUP($L47,Data_Validation!$A:$F,6,0)</f>
        <v>0</v>
      </c>
    </row>
    <row r="48" spans="1:24" ht="15.75" customHeight="1">
      <c r="A48" s="708" t="s">
        <v>1840</v>
      </c>
      <c r="B48" s="708" t="s">
        <v>819</v>
      </c>
      <c r="C48" s="709">
        <v>0</v>
      </c>
      <c r="D48" s="1274">
        <v>505980.55</v>
      </c>
      <c r="E48" s="1274">
        <v>505980.55</v>
      </c>
      <c r="F48" s="708" t="s">
        <v>2225</v>
      </c>
      <c r="G48" s="708" t="s">
        <v>819</v>
      </c>
      <c r="H48" s="709" t="s">
        <v>3000</v>
      </c>
      <c r="I48" s="710"/>
      <c r="J48" s="710"/>
      <c r="K48" s="710"/>
      <c r="L48" s="149" t="str">
        <f t="shared" si="0"/>
        <v>242A</v>
      </c>
      <c r="M48" s="150" t="str">
        <f t="shared" si="1"/>
        <v>INV. CAMIONS USAGES BMW</v>
      </c>
      <c r="N48" s="151">
        <f>+IF(OR($Q48=Parametres!$G$2,$Q48=Parametres!$G$3),I48,C48)</f>
        <v>0</v>
      </c>
      <c r="O48" s="498">
        <f>+IF(OR($Q48=Parametres!$G$2,$Q48=Parametres!$G$3),J48,D48)</f>
        <v>505980.55</v>
      </c>
      <c r="P48" s="151">
        <f>+IF(OR($Q48=Parametres!$G$2,$Q48=Parametres!$G$3),K48,E48)</f>
        <v>505980.55</v>
      </c>
      <c r="Q48" s="150" t="str">
        <f t="shared" si="2"/>
        <v>2-Actifs</v>
      </c>
      <c r="R48" s="149" t="str">
        <f t="shared" si="3"/>
        <v>242A</v>
      </c>
      <c r="S48" s="150" t="str">
        <f t="shared" si="4"/>
        <v>_</v>
      </c>
      <c r="T48" s="152" t="str">
        <f>+VLOOKUP($L48,Data_Validation!$A:$D,1,0)</f>
        <v>242A</v>
      </c>
      <c r="U48" s="152" t="str">
        <f>+VLOOKUP($L48,Data_Validation!$A:$D,3,0)</f>
        <v>Bilan</v>
      </c>
      <c r="V48" s="152" t="str">
        <f>+VLOOKUP($L48,Data_Validation!$A:$D,4,0)</f>
        <v>Inventaire Véhicules Usagés</v>
      </c>
      <c r="W48" s="152" t="str">
        <f>+VLOOKUP($L48,Data_Validation!$A:$E,5,0)</f>
        <v>$</v>
      </c>
      <c r="X48" s="152">
        <f>+VLOOKUP($L48,Data_Validation!$A:$F,6,0)</f>
        <v>0</v>
      </c>
    </row>
    <row r="49" spans="1:24" ht="15" customHeight="1">
      <c r="A49" s="708" t="s">
        <v>1107</v>
      </c>
      <c r="B49" s="708" t="s">
        <v>421</v>
      </c>
      <c r="C49" s="710">
        <v>0</v>
      </c>
      <c r="D49" s="710">
        <v>311452.33</v>
      </c>
      <c r="E49" s="710">
        <v>311452.33</v>
      </c>
      <c r="F49" s="708" t="s">
        <v>2225</v>
      </c>
      <c r="G49" s="708" t="s">
        <v>421</v>
      </c>
      <c r="H49" s="664" t="s">
        <v>3000</v>
      </c>
      <c r="I49" s="663"/>
      <c r="J49" s="663"/>
      <c r="K49" s="663"/>
      <c r="L49" s="149" t="str">
        <f t="shared" si="0"/>
        <v>243A</v>
      </c>
      <c r="M49" s="150" t="str">
        <f t="shared" si="1"/>
        <v>INV. PIECES BMW</v>
      </c>
      <c r="N49" s="151">
        <f>+IF(OR($Q49=Parametres!$G$2,$Q49=Parametres!$G$3),I49,C49)</f>
        <v>0</v>
      </c>
      <c r="O49" s="151">
        <f>+IF(OR($Q49=Parametres!$G$2,$Q49=Parametres!$G$3),J49,D49)</f>
        <v>311452.33</v>
      </c>
      <c r="P49" s="151">
        <f>+IF(OR($Q49=Parametres!$G$2,$Q49=Parametres!$G$3),K49,E49)</f>
        <v>311452.33</v>
      </c>
      <c r="Q49" s="150" t="str">
        <f t="shared" si="2"/>
        <v>2-Actifs</v>
      </c>
      <c r="R49" s="149" t="str">
        <f t="shared" si="3"/>
        <v>243A</v>
      </c>
      <c r="S49" s="150" t="str">
        <f t="shared" si="4"/>
        <v>_</v>
      </c>
      <c r="T49" s="152" t="str">
        <f>+VLOOKUP($L49,Data_Validation!$A:$D,1,0)</f>
        <v>243A</v>
      </c>
      <c r="U49" s="152" t="str">
        <f>+VLOOKUP($L49,Data_Validation!$A:$D,3,0)</f>
        <v>Bilan</v>
      </c>
      <c r="V49" s="152" t="str">
        <f>+VLOOKUP($L49,Data_Validation!$A:$D,4,0)</f>
        <v>Inventaire Pièces, Pneus, Huile</v>
      </c>
      <c r="W49" s="152" t="str">
        <f>+VLOOKUP($L49,Data_Validation!$A:$E,5,0)</f>
        <v>$</v>
      </c>
      <c r="X49" s="152">
        <f>+VLOOKUP($L49,Data_Validation!$A:$F,6,0)</f>
        <v>0</v>
      </c>
    </row>
    <row r="50" spans="1:24" ht="15" customHeight="1">
      <c r="A50" s="708" t="s">
        <v>362</v>
      </c>
      <c r="B50" s="708" t="s">
        <v>1147</v>
      </c>
      <c r="C50" s="710">
        <v>0</v>
      </c>
      <c r="D50" s="710">
        <v>-27762.6</v>
      </c>
      <c r="E50" s="710">
        <v>-27762.6</v>
      </c>
      <c r="F50" s="708" t="s">
        <v>2225</v>
      </c>
      <c r="G50" s="708" t="s">
        <v>421</v>
      </c>
      <c r="H50" s="664" t="s">
        <v>3000</v>
      </c>
      <c r="I50" s="664"/>
      <c r="J50" s="664"/>
      <c r="K50" s="664"/>
      <c r="L50" s="149" t="str">
        <f t="shared" si="0"/>
        <v>243F</v>
      </c>
      <c r="M50" s="150" t="str">
        <f t="shared" si="1"/>
        <v>AJUSTEMENT INVENTAIRE PIECES</v>
      </c>
      <c r="N50" s="151">
        <f>+IF(OR($Q50=Parametres!$G$2,$Q50=Parametres!$G$3),I50,C50)</f>
        <v>0</v>
      </c>
      <c r="O50" s="151">
        <f>+IF(OR($Q50=Parametres!$G$2,$Q50=Parametres!$G$3),J50,D50)</f>
        <v>-27762.6</v>
      </c>
      <c r="P50" s="151">
        <f>+IF(OR($Q50=Parametres!$G$2,$Q50=Parametres!$G$3),K50,E50)</f>
        <v>-27762.6</v>
      </c>
      <c r="Q50" s="150" t="str">
        <f t="shared" si="2"/>
        <v>2-Actifs</v>
      </c>
      <c r="R50" s="149" t="str">
        <f t="shared" si="3"/>
        <v>243A</v>
      </c>
      <c r="S50" s="150" t="str">
        <f t="shared" si="4"/>
        <v>_</v>
      </c>
      <c r="T50" s="152" t="str">
        <f>+VLOOKUP($L50,Data_Validation!$A:$D,1,0)</f>
        <v>243F</v>
      </c>
      <c r="U50" s="152" t="str">
        <f>+VLOOKUP($L50,Data_Validation!$A:$D,3,0)</f>
        <v>Bilan</v>
      </c>
      <c r="V50" s="152" t="str">
        <f>+VLOOKUP($L50,Data_Validation!$A:$D,4,0)</f>
        <v>Inventaire Pièces, Pneus, Huile</v>
      </c>
      <c r="W50" s="152" t="str">
        <f>+VLOOKUP($L50,Data_Validation!$A:$E,5,0)</f>
        <v>$</v>
      </c>
      <c r="X50" s="152">
        <f>+VLOOKUP($L50,Data_Validation!$A:$F,6,0)</f>
        <v>0</v>
      </c>
    </row>
    <row r="51" spans="1:24" ht="15" customHeight="1">
      <c r="A51" s="708" t="s">
        <v>1192</v>
      </c>
      <c r="B51" s="708" t="s">
        <v>881</v>
      </c>
      <c r="C51" s="710">
        <v>0</v>
      </c>
      <c r="D51" s="710">
        <v>140</v>
      </c>
      <c r="E51" s="710">
        <v>140</v>
      </c>
      <c r="F51" s="708" t="s">
        <v>2225</v>
      </c>
      <c r="G51" s="708" t="s">
        <v>881</v>
      </c>
      <c r="H51" s="664" t="s">
        <v>3000</v>
      </c>
      <c r="I51" s="663"/>
      <c r="J51" s="663"/>
      <c r="K51" s="663"/>
      <c r="L51" s="149" t="str">
        <f t="shared" si="0"/>
        <v>247</v>
      </c>
      <c r="M51" s="150" t="str">
        <f t="shared" si="1"/>
        <v>INV. SOUS TRAITANCE</v>
      </c>
      <c r="N51" s="151">
        <f>+IF(OR($Q51=Parametres!$G$2,$Q51=Parametres!$G$3),I51,C51)</f>
        <v>0</v>
      </c>
      <c r="O51" s="151">
        <f>+IF(OR($Q51=Parametres!$G$2,$Q51=Parametres!$G$3),J51,D51)</f>
        <v>140</v>
      </c>
      <c r="P51" s="151">
        <f>+IF(OR($Q51=Parametres!$G$2,$Q51=Parametres!$G$3),K51,E51)</f>
        <v>140</v>
      </c>
      <c r="Q51" s="150" t="str">
        <f t="shared" si="2"/>
        <v>2-Actifs</v>
      </c>
      <c r="R51" s="149" t="str">
        <f t="shared" si="3"/>
        <v>247</v>
      </c>
      <c r="S51" s="150" t="str">
        <f t="shared" si="4"/>
        <v>_</v>
      </c>
      <c r="T51" s="152" t="str">
        <f>+VLOOKUP($L51,Data_Validation!$A:$D,1,0)</f>
        <v>247</v>
      </c>
      <c r="U51" s="152" t="str">
        <f>+VLOOKUP($L51,Data_Validation!$A:$D,3,0)</f>
        <v>Bilan</v>
      </c>
      <c r="V51" s="152" t="str">
        <f>+VLOOKUP($L51,Data_Validation!$A:$D,4,0)</f>
        <v>Sous-Traitance</v>
      </c>
      <c r="W51" s="152" t="str">
        <f>+VLOOKUP($L51,Data_Validation!$A:$E,5,0)</f>
        <v>$</v>
      </c>
      <c r="X51" s="152">
        <f>+VLOOKUP($L51,Data_Validation!$A:$F,6,0)</f>
        <v>0</v>
      </c>
    </row>
    <row r="52" spans="1:24" ht="15.75" customHeight="1">
      <c r="A52" s="708" t="s">
        <v>380</v>
      </c>
      <c r="B52" s="708" t="s">
        <v>462</v>
      </c>
      <c r="C52" s="709">
        <v>0</v>
      </c>
      <c r="D52" s="1274">
        <v>2944.14</v>
      </c>
      <c r="E52" s="1274">
        <v>2944.14</v>
      </c>
      <c r="F52" s="708" t="s">
        <v>2225</v>
      </c>
      <c r="G52" s="708" t="s">
        <v>462</v>
      </c>
      <c r="H52" s="709" t="s">
        <v>3000</v>
      </c>
      <c r="I52" s="710"/>
      <c r="J52" s="710"/>
      <c r="K52" s="710"/>
      <c r="L52" s="149" t="str">
        <f t="shared" si="0"/>
        <v>248</v>
      </c>
      <c r="M52" s="150" t="str">
        <f t="shared" si="1"/>
        <v>TRAVAUX EN COURS</v>
      </c>
      <c r="N52" s="151">
        <f>+IF(OR($Q52=Parametres!$G$2,$Q52=Parametres!$G$3),I52,C52)</f>
        <v>0</v>
      </c>
      <c r="O52" s="151">
        <f>+IF(OR($Q52=Parametres!$G$2,$Q52=Parametres!$G$3),J52,D52)</f>
        <v>2944.14</v>
      </c>
      <c r="P52" s="151">
        <f>+IF(OR($Q52=Parametres!$G$2,$Q52=Parametres!$G$3),K52,E52)</f>
        <v>2944.14</v>
      </c>
      <c r="Q52" s="150" t="str">
        <f t="shared" si="2"/>
        <v>2-Actifs</v>
      </c>
      <c r="R52" s="149" t="str">
        <f t="shared" si="3"/>
        <v>248</v>
      </c>
      <c r="S52" s="150" t="str">
        <f t="shared" si="4"/>
        <v>_</v>
      </c>
      <c r="T52" s="152" t="str">
        <f>+VLOOKUP($L52,Data_Validation!$A:$D,1,0)</f>
        <v>248</v>
      </c>
      <c r="U52" s="152" t="str">
        <f>+VLOOKUP($L52,Data_Validation!$A:$D,3,0)</f>
        <v>Bilan</v>
      </c>
      <c r="V52" s="152" t="str">
        <f>+VLOOKUP($L52,Data_Validation!$A:$D,4,0)</f>
        <v>Travaux en Cours</v>
      </c>
      <c r="W52" s="152" t="str">
        <f>+VLOOKUP($L52,Data_Validation!$A:$E,5,0)</f>
        <v>$</v>
      </c>
      <c r="X52" s="152">
        <f>+VLOOKUP($L52,Data_Validation!$A:$F,6,0)</f>
        <v>0</v>
      </c>
    </row>
    <row r="53" spans="1:24" ht="15" customHeight="1">
      <c r="A53" s="708" t="s">
        <v>1825</v>
      </c>
      <c r="B53" s="708" t="s">
        <v>427</v>
      </c>
      <c r="C53" s="710">
        <v>0</v>
      </c>
      <c r="D53" s="710">
        <v>177996.53</v>
      </c>
      <c r="E53" s="710">
        <v>177996.53</v>
      </c>
      <c r="F53" s="708" t="s">
        <v>2225</v>
      </c>
      <c r="G53" s="708" t="s">
        <v>421</v>
      </c>
      <c r="H53" s="664" t="s">
        <v>3000</v>
      </c>
      <c r="I53" s="663"/>
      <c r="J53" s="663"/>
      <c r="K53" s="663"/>
      <c r="L53" s="149" t="str">
        <f t="shared" si="0"/>
        <v>249</v>
      </c>
      <c r="M53" s="150" t="str">
        <f t="shared" si="1"/>
        <v>INV. PNEUS</v>
      </c>
      <c r="N53" s="151">
        <f>+IF(OR($Q53=Parametres!$G$2,$Q53=Parametres!$G$3),I53,C53)</f>
        <v>0</v>
      </c>
      <c r="O53" s="151">
        <f>+IF(OR($Q53=Parametres!$G$2,$Q53=Parametres!$G$3),J53,D53)</f>
        <v>177996.53</v>
      </c>
      <c r="P53" s="151">
        <f>+IF(OR($Q53=Parametres!$G$2,$Q53=Parametres!$G$3),K53,E53)</f>
        <v>177996.53</v>
      </c>
      <c r="Q53" s="150" t="str">
        <f t="shared" si="2"/>
        <v>2-Actifs</v>
      </c>
      <c r="R53" s="149" t="str">
        <f t="shared" si="3"/>
        <v>243A</v>
      </c>
      <c r="S53" s="150" t="str">
        <f t="shared" si="4"/>
        <v>_</v>
      </c>
      <c r="T53" s="152" t="str">
        <f>+VLOOKUP($L53,Data_Validation!$A:$D,1,0)</f>
        <v>249</v>
      </c>
      <c r="U53" s="152" t="str">
        <f>+VLOOKUP($L53,Data_Validation!$A:$D,3,0)</f>
        <v>Bilan</v>
      </c>
      <c r="V53" s="152" t="str">
        <f>+VLOOKUP($L53,Data_Validation!$A:$D,4,0)</f>
        <v>Inventaire Pièces, Pneus, Huile</v>
      </c>
      <c r="W53" s="152" t="str">
        <f>+VLOOKUP($L53,Data_Validation!$A:$E,5,0)</f>
        <v>$</v>
      </c>
      <c r="X53" s="152">
        <f>+VLOOKUP($L53,Data_Validation!$A:$F,6,0)</f>
        <v>0</v>
      </c>
    </row>
    <row r="54" spans="1:24" ht="15" customHeight="1">
      <c r="A54" s="708" t="s">
        <v>1779</v>
      </c>
      <c r="B54" s="708" t="s">
        <v>1780</v>
      </c>
      <c r="C54" s="710">
        <v>0</v>
      </c>
      <c r="D54" s="710">
        <v>-8615.7800000000007</v>
      </c>
      <c r="E54" s="710">
        <v>-8615.7800000000007</v>
      </c>
      <c r="F54" s="708" t="s">
        <v>2225</v>
      </c>
      <c r="G54" s="708" t="s">
        <v>2245</v>
      </c>
      <c r="H54" s="664" t="s">
        <v>3000</v>
      </c>
      <c r="I54" s="664"/>
      <c r="J54" s="664"/>
      <c r="K54" s="664"/>
      <c r="L54" s="149" t="str">
        <f t="shared" si="0"/>
        <v>270B</v>
      </c>
      <c r="M54" s="150" t="str">
        <f t="shared" si="1"/>
        <v>ELECTRICITE PAYES D'AVANCE</v>
      </c>
      <c r="N54" s="151">
        <f>+IF(OR($Q54=Parametres!$G$2,$Q54=Parametres!$G$3),I54,C54)</f>
        <v>0</v>
      </c>
      <c r="O54" s="151">
        <f>+IF(OR($Q54=Parametres!$G$2,$Q54=Parametres!$G$3),J54,D54)</f>
        <v>-8615.7800000000007</v>
      </c>
      <c r="P54" s="151">
        <f>+IF(OR($Q54=Parametres!$G$2,$Q54=Parametres!$G$3),K54,E54)</f>
        <v>-8615.7800000000007</v>
      </c>
      <c r="Q54" s="150" t="str">
        <f t="shared" si="2"/>
        <v>2-Actifs</v>
      </c>
      <c r="R54" s="149" t="str">
        <f t="shared" si="3"/>
        <v>270</v>
      </c>
      <c r="S54" s="150" t="str">
        <f t="shared" si="4"/>
        <v>_</v>
      </c>
      <c r="T54" s="152" t="str">
        <f>+VLOOKUP($L54,Data_Validation!$A:$D,1,0)</f>
        <v>270B</v>
      </c>
      <c r="U54" s="152" t="str">
        <f>+VLOOKUP($L54,Data_Validation!$A:$D,3,0)</f>
        <v>Bilan</v>
      </c>
      <c r="V54" s="152" t="str">
        <f>+VLOOKUP($L54,Data_Validation!$A:$D,4,0)</f>
        <v>Autres Comptes à Payer</v>
      </c>
      <c r="W54" s="152" t="str">
        <f>+VLOOKUP($L54,Data_Validation!$A:$E,5,0)</f>
        <v>$</v>
      </c>
      <c r="X54" s="152">
        <f>+VLOOKUP($L54,Data_Validation!$A:$F,6,0)</f>
        <v>0</v>
      </c>
    </row>
    <row r="55" spans="1:24" ht="15" customHeight="1">
      <c r="A55" s="708" t="s">
        <v>1811</v>
      </c>
      <c r="B55" s="708" t="s">
        <v>1812</v>
      </c>
      <c r="C55" s="710">
        <v>0</v>
      </c>
      <c r="D55" s="710">
        <v>3076.72</v>
      </c>
      <c r="E55" s="710">
        <v>3076.72</v>
      </c>
      <c r="F55" s="708" t="s">
        <v>2225</v>
      </c>
      <c r="G55" s="708" t="s">
        <v>2245</v>
      </c>
      <c r="H55" s="664" t="s">
        <v>3000</v>
      </c>
      <c r="I55" s="663"/>
      <c r="J55" s="663"/>
      <c r="K55" s="663"/>
      <c r="L55" s="149" t="str">
        <f t="shared" si="0"/>
        <v>270C</v>
      </c>
      <c r="M55" s="150" t="str">
        <f t="shared" si="1"/>
        <v>PLAQUES PAYES D'AVANCE</v>
      </c>
      <c r="N55" s="151">
        <f>+IF(OR($Q55=Parametres!$G$2,$Q55=Parametres!$G$3),I55,C55)</f>
        <v>0</v>
      </c>
      <c r="O55" s="151">
        <f>+IF(OR($Q55=Parametres!$G$2,$Q55=Parametres!$G$3),J55,D55)</f>
        <v>3076.72</v>
      </c>
      <c r="P55" s="151">
        <f>+IF(OR($Q55=Parametres!$G$2,$Q55=Parametres!$G$3),K55,E55)</f>
        <v>3076.72</v>
      </c>
      <c r="Q55" s="150" t="str">
        <f t="shared" si="2"/>
        <v>2-Actifs</v>
      </c>
      <c r="R55" s="149" t="str">
        <f t="shared" si="3"/>
        <v>270</v>
      </c>
      <c r="S55" s="150" t="str">
        <f t="shared" si="4"/>
        <v>_</v>
      </c>
      <c r="T55" s="152" t="str">
        <f>+VLOOKUP($L55,Data_Validation!$A:$D,1,0)</f>
        <v>270C</v>
      </c>
      <c r="U55" s="152" t="str">
        <f>+VLOOKUP($L55,Data_Validation!$A:$D,3,0)</f>
        <v>Bilan</v>
      </c>
      <c r="V55" s="152" t="str">
        <f>+VLOOKUP($L55,Data_Validation!$A:$D,4,0)</f>
        <v>Frais Payés d'Avance</v>
      </c>
      <c r="W55" s="152" t="str">
        <f>+VLOOKUP($L55,Data_Validation!$A:$E,5,0)</f>
        <v>$</v>
      </c>
      <c r="X55" s="152">
        <f>+VLOOKUP($L55,Data_Validation!$A:$F,6,0)</f>
        <v>0</v>
      </c>
    </row>
    <row r="56" spans="1:24" ht="15.75" customHeight="1">
      <c r="A56" s="708" t="s">
        <v>3001</v>
      </c>
      <c r="B56" s="708" t="s">
        <v>3002</v>
      </c>
      <c r="C56" s="710">
        <v>0</v>
      </c>
      <c r="D56" s="710">
        <v>39282.83</v>
      </c>
      <c r="E56" s="710">
        <v>39282.83</v>
      </c>
      <c r="F56" s="708" t="s">
        <v>2225</v>
      </c>
      <c r="G56" s="708" t="s">
        <v>2245</v>
      </c>
      <c r="H56" s="664" t="s">
        <v>3000</v>
      </c>
      <c r="I56" s="663"/>
      <c r="J56" s="663"/>
      <c r="K56" s="663"/>
      <c r="L56" s="149" t="str">
        <f t="shared" si="0"/>
        <v>270D</v>
      </c>
      <c r="M56" s="150" t="str">
        <f t="shared" si="1"/>
        <v>ASSURANCES PAYES D'AVANCE</v>
      </c>
      <c r="N56" s="151">
        <f>+IF(OR($Q56=Parametres!$G$2,$Q56=Parametres!$G$3),I56,C56)</f>
        <v>0</v>
      </c>
      <c r="O56" s="151">
        <f>+IF(OR($Q56=Parametres!$G$2,$Q56=Parametres!$G$3),J56,D56)</f>
        <v>39282.83</v>
      </c>
      <c r="P56" s="151">
        <f>+IF(OR($Q56=Parametres!$G$2,$Q56=Parametres!$G$3),K56,E56)</f>
        <v>39282.83</v>
      </c>
      <c r="Q56" s="150" t="str">
        <f t="shared" si="2"/>
        <v>2-Actifs</v>
      </c>
      <c r="R56" s="149" t="str">
        <f t="shared" si="3"/>
        <v>270</v>
      </c>
      <c r="S56" s="150" t="str">
        <f t="shared" si="4"/>
        <v>_</v>
      </c>
      <c r="T56" s="152" t="str">
        <f>+VLOOKUP($L56,Data_Validation!$A:$D,1,0)</f>
        <v>270D</v>
      </c>
      <c r="U56" s="152" t="str">
        <f>+VLOOKUP($L56,Data_Validation!$A:$D,3,0)</f>
        <v>Bilan</v>
      </c>
      <c r="V56" s="152" t="str">
        <f>+VLOOKUP($L56,Data_Validation!$A:$D,4,0)</f>
        <v>Frais Payés d'Avance</v>
      </c>
      <c r="W56" s="152" t="str">
        <f>+VLOOKUP($L56,Data_Validation!$A:$E,5,0)</f>
        <v>$</v>
      </c>
      <c r="X56" s="152">
        <f>+VLOOKUP($L56,Data_Validation!$A:$F,6,0)</f>
        <v>0</v>
      </c>
    </row>
    <row r="57" spans="1:24" ht="15" customHeight="1">
      <c r="A57" s="708" t="s">
        <v>3050</v>
      </c>
      <c r="B57" s="708" t="s">
        <v>3051</v>
      </c>
      <c r="C57" s="710">
        <v>0</v>
      </c>
      <c r="D57" s="710">
        <v>6941.67</v>
      </c>
      <c r="E57" s="710">
        <v>6941.67</v>
      </c>
      <c r="F57" s="708" t="s">
        <v>2225</v>
      </c>
      <c r="G57" s="708" t="s">
        <v>2245</v>
      </c>
      <c r="H57" s="664" t="s">
        <v>3000</v>
      </c>
      <c r="I57" s="663"/>
      <c r="J57" s="663"/>
      <c r="K57" s="663"/>
      <c r="L57" s="149" t="str">
        <f t="shared" si="0"/>
        <v>270E</v>
      </c>
      <c r="M57" s="150" t="str">
        <f t="shared" si="1"/>
        <v>FRAIS DE PRETS</v>
      </c>
      <c r="N57" s="151">
        <f>+IF(OR($Q57=Parametres!$G$2,$Q57=Parametres!$G$3),I57,C57)</f>
        <v>0</v>
      </c>
      <c r="O57" s="151">
        <f>+IF(OR($Q57=Parametres!$G$2,$Q57=Parametres!$G$3),J57,D57)</f>
        <v>6941.67</v>
      </c>
      <c r="P57" s="151">
        <f>+IF(OR($Q57=Parametres!$G$2,$Q57=Parametres!$G$3),K57,E57)</f>
        <v>6941.67</v>
      </c>
      <c r="Q57" s="150" t="str">
        <f t="shared" si="2"/>
        <v>2-Actifs</v>
      </c>
      <c r="R57" s="149" t="str">
        <f t="shared" si="3"/>
        <v>270</v>
      </c>
      <c r="S57" s="150" t="str">
        <f t="shared" si="4"/>
        <v>_</v>
      </c>
      <c r="T57" s="152" t="str">
        <f>+VLOOKUP($L57,Data_Validation!$A:$D,1,0)</f>
        <v>270E</v>
      </c>
      <c r="U57" s="152" t="str">
        <f>+VLOOKUP($L57,Data_Validation!$A:$D,3,0)</f>
        <v>Bilan</v>
      </c>
      <c r="V57" s="152" t="str">
        <f>+VLOOKUP($L57,Data_Validation!$A:$D,4,0)</f>
        <v>Frais Payés d'Avance</v>
      </c>
      <c r="W57" s="152" t="str">
        <f>+VLOOKUP($L57,Data_Validation!$A:$E,5,0)</f>
        <v>$</v>
      </c>
      <c r="X57" s="152">
        <f>+VLOOKUP($L57,Data_Validation!$A:$F,6,0)</f>
        <v>0</v>
      </c>
    </row>
    <row r="58" spans="1:24" ht="15" customHeight="1">
      <c r="A58" s="708" t="s">
        <v>940</v>
      </c>
      <c r="B58" s="708" t="s">
        <v>386</v>
      </c>
      <c r="C58" s="710">
        <v>0</v>
      </c>
      <c r="D58" s="710">
        <v>1616.67</v>
      </c>
      <c r="E58" s="710">
        <v>1616.67</v>
      </c>
      <c r="F58" s="708" t="s">
        <v>2225</v>
      </c>
      <c r="G58" s="708" t="s">
        <v>386</v>
      </c>
      <c r="H58" s="600" t="s">
        <v>3000</v>
      </c>
      <c r="I58" s="601"/>
      <c r="J58" s="601"/>
      <c r="K58" s="601"/>
      <c r="L58" s="149" t="str">
        <f t="shared" si="0"/>
        <v>274</v>
      </c>
      <c r="M58" s="150" t="str">
        <f t="shared" si="1"/>
        <v>FPA CONTRATS DE SERVICE</v>
      </c>
      <c r="N58" s="151">
        <f>+IF(OR($Q58=Parametres!$G$2,$Q58=Parametres!$G$3),I58,C58)</f>
        <v>0</v>
      </c>
      <c r="O58" s="151">
        <f>+IF(OR($Q58=Parametres!$G$2,$Q58=Parametres!$G$3),J58,D58)</f>
        <v>1616.67</v>
      </c>
      <c r="P58" s="151">
        <f>+IF(OR($Q58=Parametres!$G$2,$Q58=Parametres!$G$3),K58,E58)</f>
        <v>1616.67</v>
      </c>
      <c r="Q58" s="150" t="str">
        <f t="shared" si="2"/>
        <v>2-Actifs</v>
      </c>
      <c r="R58" s="149" t="str">
        <f t="shared" si="3"/>
        <v>274</v>
      </c>
      <c r="S58" s="150" t="str">
        <f t="shared" si="4"/>
        <v>_</v>
      </c>
      <c r="T58" s="152" t="str">
        <f>+VLOOKUP($L58,Data_Validation!$A:$D,1,0)</f>
        <v>274</v>
      </c>
      <c r="U58" s="152" t="str">
        <f>+VLOOKUP($L58,Data_Validation!$A:$D,3,0)</f>
        <v>Bilan</v>
      </c>
      <c r="V58" s="152" t="str">
        <f>+VLOOKUP($L58,Data_Validation!$A:$D,4,0)</f>
        <v>Frais Payés d'Avance</v>
      </c>
      <c r="W58" s="152" t="str">
        <f>+VLOOKUP($L58,Data_Validation!$A:$E,5,0)</f>
        <v>$</v>
      </c>
      <c r="X58" s="152">
        <f>+VLOOKUP($L58,Data_Validation!$A:$F,6,0)</f>
        <v>0</v>
      </c>
    </row>
    <row r="59" spans="1:24" ht="15" customHeight="1">
      <c r="A59" s="708" t="s">
        <v>1748</v>
      </c>
      <c r="B59" s="708" t="s">
        <v>1009</v>
      </c>
      <c r="C59" s="710">
        <v>0</v>
      </c>
      <c r="D59" s="710">
        <v>2250</v>
      </c>
      <c r="E59" s="710">
        <v>2250</v>
      </c>
      <c r="F59" s="708" t="s">
        <v>2225</v>
      </c>
      <c r="G59" s="708" t="s">
        <v>386</v>
      </c>
      <c r="H59" s="664" t="s">
        <v>3000</v>
      </c>
      <c r="I59" s="663"/>
      <c r="J59" s="663"/>
      <c r="K59" s="663"/>
      <c r="L59" s="149" t="str">
        <f t="shared" si="0"/>
        <v>276A</v>
      </c>
      <c r="M59" s="150" t="str">
        <f t="shared" si="1"/>
        <v>FPA CCAQ</v>
      </c>
      <c r="N59" s="151">
        <f>+IF(OR($Q59=Parametres!$G$2,$Q59=Parametres!$G$3),I59,C59)</f>
        <v>0</v>
      </c>
      <c r="O59" s="151">
        <f>+IF(OR($Q59=Parametres!$G$2,$Q59=Parametres!$G$3),J59,D59)</f>
        <v>2250</v>
      </c>
      <c r="P59" s="151">
        <f>+IF(OR($Q59=Parametres!$G$2,$Q59=Parametres!$G$3),K59,E59)</f>
        <v>2250</v>
      </c>
      <c r="Q59" s="150" t="str">
        <f t="shared" si="2"/>
        <v>2-Actifs</v>
      </c>
      <c r="R59" s="149" t="str">
        <f t="shared" si="3"/>
        <v>274</v>
      </c>
      <c r="S59" s="150" t="str">
        <f t="shared" si="4"/>
        <v>_</v>
      </c>
      <c r="T59" s="152" t="str">
        <f>+VLOOKUP($L59,Data_Validation!$A:$D,1,0)</f>
        <v>276A</v>
      </c>
      <c r="U59" s="152" t="str">
        <f>+VLOOKUP($L59,Data_Validation!$A:$D,3,0)</f>
        <v>Bilan</v>
      </c>
      <c r="V59" s="152" t="str">
        <f>+VLOOKUP($L59,Data_Validation!$A:$D,4,0)</f>
        <v>Frais Payés d'Avance</v>
      </c>
      <c r="W59" s="152" t="str">
        <f>+VLOOKUP($L59,Data_Validation!$A:$E,5,0)</f>
        <v>$</v>
      </c>
      <c r="X59" s="152">
        <f>+VLOOKUP($L59,Data_Validation!$A:$F,6,0)</f>
        <v>0</v>
      </c>
    </row>
    <row r="60" spans="1:24" ht="15" customHeight="1">
      <c r="A60" s="708" t="s">
        <v>405</v>
      </c>
      <c r="B60" s="708" t="s">
        <v>406</v>
      </c>
      <c r="C60" s="710">
        <v>0</v>
      </c>
      <c r="D60" s="710">
        <v>109.5</v>
      </c>
      <c r="E60" s="710">
        <v>109.5</v>
      </c>
      <c r="F60" s="708" t="s">
        <v>2225</v>
      </c>
      <c r="G60" s="708" t="s">
        <v>386</v>
      </c>
      <c r="H60" s="664" t="s">
        <v>3000</v>
      </c>
      <c r="I60" s="664"/>
      <c r="J60" s="664"/>
      <c r="K60" s="664"/>
      <c r="L60" s="149" t="str">
        <f t="shared" si="0"/>
        <v>279B</v>
      </c>
      <c r="M60" s="150" t="str">
        <f t="shared" si="1"/>
        <v>FPA AUTRES</v>
      </c>
      <c r="N60" s="151">
        <f>+IF(OR($Q60=Parametres!$G$2,$Q60=Parametres!$G$3),I60,C60)</f>
        <v>0</v>
      </c>
      <c r="O60" s="151">
        <f>+IF(OR($Q60=Parametres!$G$2,$Q60=Parametres!$G$3),J60,D60)</f>
        <v>109.5</v>
      </c>
      <c r="P60" s="151">
        <f>+IF(OR($Q60=Parametres!$G$2,$Q60=Parametres!$G$3),K60,E60)</f>
        <v>109.5</v>
      </c>
      <c r="Q60" s="150" t="str">
        <f t="shared" si="2"/>
        <v>2-Actifs</v>
      </c>
      <c r="R60" s="149" t="str">
        <f t="shared" si="3"/>
        <v>274</v>
      </c>
      <c r="S60" s="150" t="str">
        <f t="shared" si="4"/>
        <v>_</v>
      </c>
      <c r="T60" s="152" t="str">
        <f>+VLOOKUP($L60,Data_Validation!$A:$D,1,0)</f>
        <v>279B</v>
      </c>
      <c r="U60" s="152" t="str">
        <f>+VLOOKUP($L60,Data_Validation!$A:$D,3,0)</f>
        <v>Bilan</v>
      </c>
      <c r="V60" s="152" t="str">
        <f>+VLOOKUP($L60,Data_Validation!$A:$D,4,0)</f>
        <v>Frais Payés d'Avance</v>
      </c>
      <c r="W60" s="152" t="str">
        <f>+VLOOKUP($L60,Data_Validation!$A:$E,5,0)</f>
        <v>$</v>
      </c>
      <c r="X60" s="152">
        <f>+VLOOKUP($L60,Data_Validation!$A:$F,6,0)</f>
        <v>0</v>
      </c>
    </row>
    <row r="61" spans="1:24" ht="15" customHeight="1">
      <c r="A61" s="708" t="s">
        <v>1184</v>
      </c>
      <c r="B61" s="708" t="s">
        <v>388</v>
      </c>
      <c r="C61" s="710">
        <v>0</v>
      </c>
      <c r="D61" s="710">
        <v>195853.48</v>
      </c>
      <c r="E61" s="710">
        <v>195853.48</v>
      </c>
      <c r="F61" s="708" t="s">
        <v>2225</v>
      </c>
      <c r="G61" s="708" t="s">
        <v>388</v>
      </c>
      <c r="H61" s="664" t="s">
        <v>3000</v>
      </c>
      <c r="I61" s="664"/>
      <c r="J61" s="664"/>
      <c r="K61" s="664"/>
      <c r="L61" s="149" t="str">
        <f t="shared" si="0"/>
        <v>282</v>
      </c>
      <c r="M61" s="150" t="str">
        <f t="shared" si="1"/>
        <v>EQUIPEMENTS &amp; OUTILLAGES</v>
      </c>
      <c r="N61" s="151">
        <f>+IF(OR($Q61=Parametres!$G$2,$Q61=Parametres!$G$3),I61,C61)</f>
        <v>0</v>
      </c>
      <c r="O61" s="151">
        <f>+IF(OR($Q61=Parametres!$G$2,$Q61=Parametres!$G$3),J61,D61)</f>
        <v>195853.48</v>
      </c>
      <c r="P61" s="151">
        <f>+IF(OR($Q61=Parametres!$G$2,$Q61=Parametres!$G$3),K61,E61)</f>
        <v>195853.48</v>
      </c>
      <c r="Q61" s="150" t="str">
        <f t="shared" si="2"/>
        <v>2-Actifs</v>
      </c>
      <c r="R61" s="149" t="str">
        <f t="shared" si="3"/>
        <v>282</v>
      </c>
      <c r="S61" s="150" t="str">
        <f t="shared" si="4"/>
        <v>_</v>
      </c>
      <c r="T61" s="152" t="str">
        <f>+VLOOKUP($L61,Data_Validation!$A:$D,1,0)</f>
        <v>282</v>
      </c>
      <c r="U61" s="152" t="str">
        <f>+VLOOKUP($L61,Data_Validation!$A:$D,3,0)</f>
        <v>Bilan</v>
      </c>
      <c r="V61" s="152" t="str">
        <f>+VLOOKUP($L61,Data_Validation!$A:$D,4,0)</f>
        <v>Équipements Service</v>
      </c>
      <c r="W61" s="152" t="str">
        <f>+VLOOKUP($L61,Data_Validation!$A:$E,5,0)</f>
        <v>$</v>
      </c>
      <c r="X61" s="152">
        <f>+VLOOKUP($L61,Data_Validation!$A:$F,6,0)</f>
        <v>0</v>
      </c>
    </row>
    <row r="62" spans="1:24" ht="15" customHeight="1">
      <c r="A62" s="708" t="s">
        <v>1356</v>
      </c>
      <c r="B62" s="708" t="s">
        <v>381</v>
      </c>
      <c r="C62" s="710">
        <v>0</v>
      </c>
      <c r="D62" s="710">
        <v>1283.78</v>
      </c>
      <c r="E62" s="710">
        <v>1283.78</v>
      </c>
      <c r="F62" s="708" t="s">
        <v>2225</v>
      </c>
      <c r="G62" s="708" t="s">
        <v>381</v>
      </c>
      <c r="H62" s="600" t="s">
        <v>3000</v>
      </c>
      <c r="I62" s="153"/>
      <c r="J62" s="153"/>
      <c r="K62" s="153"/>
      <c r="L62" s="149" t="str">
        <f t="shared" si="0"/>
        <v>283</v>
      </c>
      <c r="M62" s="150" t="str">
        <f t="shared" si="1"/>
        <v>EQUIPEMENTS PIECES &amp; ACCESSOIRES</v>
      </c>
      <c r="N62" s="151">
        <f>+IF(OR($Q62=Parametres!$G$2,$Q62=Parametres!$G$3),I62,C62)</f>
        <v>0</v>
      </c>
      <c r="O62" s="151">
        <f>+IF(OR($Q62=Parametres!$G$2,$Q62=Parametres!$G$3),J62,D62)</f>
        <v>1283.78</v>
      </c>
      <c r="P62" s="151">
        <f>+IF(OR($Q62=Parametres!$G$2,$Q62=Parametres!$G$3),K62,E62)</f>
        <v>1283.78</v>
      </c>
      <c r="Q62" s="150" t="str">
        <f t="shared" si="2"/>
        <v>2-Actifs</v>
      </c>
      <c r="R62" s="149" t="str">
        <f t="shared" si="3"/>
        <v>283</v>
      </c>
      <c r="S62" s="150" t="str">
        <f t="shared" si="4"/>
        <v>_</v>
      </c>
      <c r="T62" s="152" t="str">
        <f>+VLOOKUP($L62,Data_Validation!$A:$D,1,0)</f>
        <v>283</v>
      </c>
      <c r="U62" s="152" t="str">
        <f>+VLOOKUP($L62,Data_Validation!$A:$D,3,0)</f>
        <v>Bilan</v>
      </c>
      <c r="V62" s="152" t="str">
        <f>+VLOOKUP($L62,Data_Validation!$A:$D,4,0)</f>
        <v>Équipements Service</v>
      </c>
      <c r="W62" s="152" t="str">
        <f>+VLOOKUP($L62,Data_Validation!$A:$E,5,0)</f>
        <v>$</v>
      </c>
      <c r="X62" s="152">
        <f>+VLOOKUP($L62,Data_Validation!$A:$F,6,0)</f>
        <v>0</v>
      </c>
    </row>
    <row r="63" spans="1:24" ht="15" customHeight="1">
      <c r="A63" s="708" t="s">
        <v>1357</v>
      </c>
      <c r="B63" s="708" t="s">
        <v>1358</v>
      </c>
      <c r="C63" s="710">
        <v>0</v>
      </c>
      <c r="D63" s="710">
        <v>196608.13</v>
      </c>
      <c r="E63" s="710">
        <v>196608.13</v>
      </c>
      <c r="F63" s="708" t="s">
        <v>2225</v>
      </c>
      <c r="G63" s="708" t="s">
        <v>1358</v>
      </c>
      <c r="H63" s="664" t="s">
        <v>3000</v>
      </c>
      <c r="I63" s="663"/>
      <c r="J63" s="663"/>
      <c r="K63" s="663"/>
      <c r="L63" s="149" t="str">
        <f t="shared" si="0"/>
        <v>284A</v>
      </c>
      <c r="M63" s="150" t="str">
        <f t="shared" si="1"/>
        <v>MEUBLES &amp; ACCESSOIRES</v>
      </c>
      <c r="N63" s="151">
        <f>+IF(OR($Q63=Parametres!$G$2,$Q63=Parametres!$G$3),I63,C63)</f>
        <v>0</v>
      </c>
      <c r="O63" s="151">
        <f>+IF(OR($Q63=Parametres!$G$2,$Q63=Parametres!$G$3),J63,D63)</f>
        <v>196608.13</v>
      </c>
      <c r="P63" s="151">
        <f>+IF(OR($Q63=Parametres!$G$2,$Q63=Parametres!$G$3),K63,E63)</f>
        <v>196608.13</v>
      </c>
      <c r="Q63" s="150" t="str">
        <f t="shared" si="2"/>
        <v>2-Actifs</v>
      </c>
      <c r="R63" s="149" t="str">
        <f t="shared" si="3"/>
        <v>284A</v>
      </c>
      <c r="S63" s="150" t="str">
        <f t="shared" si="4"/>
        <v>_</v>
      </c>
      <c r="T63" s="152" t="str">
        <f>+VLOOKUP($L63,Data_Validation!$A:$D,1,0)</f>
        <v>284A</v>
      </c>
      <c r="U63" s="152" t="str">
        <f>+VLOOKUP($L63,Data_Validation!$A:$D,3,0)</f>
        <v>Bilan</v>
      </c>
      <c r="V63" s="152" t="str">
        <f>+VLOOKUP($L63,Data_Validation!$A:$D,4,0)</f>
        <v>Mobilier</v>
      </c>
      <c r="W63" s="152" t="str">
        <f>+VLOOKUP($L63,Data_Validation!$A:$E,5,0)</f>
        <v>$</v>
      </c>
      <c r="X63" s="152">
        <f>+VLOOKUP($L63,Data_Validation!$A:$F,6,0)</f>
        <v>0</v>
      </c>
    </row>
    <row r="64" spans="1:24" ht="15" customHeight="1">
      <c r="A64" s="708" t="s">
        <v>1359</v>
      </c>
      <c r="B64" s="708" t="s">
        <v>1360</v>
      </c>
      <c r="C64" s="709">
        <v>0</v>
      </c>
      <c r="D64" s="1274">
        <v>9907.58</v>
      </c>
      <c r="E64" s="1274">
        <v>9907.58</v>
      </c>
      <c r="F64" s="708" t="s">
        <v>2225</v>
      </c>
      <c r="G64" s="708" t="s">
        <v>1360</v>
      </c>
      <c r="H64" s="709" t="s">
        <v>3000</v>
      </c>
      <c r="I64" s="710"/>
      <c r="J64" s="710"/>
      <c r="K64" s="710"/>
      <c r="L64" s="149" t="str">
        <f t="shared" si="0"/>
        <v>284B</v>
      </c>
      <c r="M64" s="150" t="str">
        <f t="shared" si="1"/>
        <v>ENSEIGNE</v>
      </c>
      <c r="N64" s="151">
        <f>+IF(OR($Q64=Parametres!$G$2,$Q64=Parametres!$G$3),I64,C64)</f>
        <v>0</v>
      </c>
      <c r="O64" s="497">
        <f>+IF(OR($Q64=Parametres!$G$2,$Q64=Parametres!$G$3),J64,D64)</f>
        <v>9907.58</v>
      </c>
      <c r="P64" s="151">
        <f>+IF(OR($Q64=Parametres!$G$2,$Q64=Parametres!$G$3),K64,E64)</f>
        <v>9907.58</v>
      </c>
      <c r="Q64" s="150" t="str">
        <f t="shared" si="2"/>
        <v>2-Actifs</v>
      </c>
      <c r="R64" s="149" t="str">
        <f t="shared" si="3"/>
        <v>284B</v>
      </c>
      <c r="S64" s="150" t="str">
        <f t="shared" si="4"/>
        <v>_</v>
      </c>
      <c r="T64" s="152" t="str">
        <f>+VLOOKUP($L64,Data_Validation!$A:$D,1,0)</f>
        <v>284B</v>
      </c>
      <c r="U64" s="152" t="str">
        <f>+VLOOKUP($L64,Data_Validation!$A:$D,3,0)</f>
        <v>Bilan</v>
      </c>
      <c r="V64" s="152" t="str">
        <f>+VLOOKUP($L64,Data_Validation!$A:$D,4,0)</f>
        <v>Enseigne</v>
      </c>
      <c r="W64" s="152" t="str">
        <f>+VLOOKUP($L64,Data_Validation!$A:$E,5,0)</f>
        <v>$</v>
      </c>
      <c r="X64" s="152">
        <f>+VLOOKUP($L64,Data_Validation!$A:$F,6,0)</f>
        <v>0</v>
      </c>
    </row>
    <row r="65" spans="1:24" ht="15" customHeight="1">
      <c r="A65" s="708" t="s">
        <v>1361</v>
      </c>
      <c r="B65" s="708" t="s">
        <v>1362</v>
      </c>
      <c r="C65" s="710">
        <v>0</v>
      </c>
      <c r="D65" s="710">
        <v>23248.6</v>
      </c>
      <c r="E65" s="710">
        <v>23248.6</v>
      </c>
      <c r="F65" s="708" t="s">
        <v>2225</v>
      </c>
      <c r="G65" s="708" t="s">
        <v>1362</v>
      </c>
      <c r="H65" s="664" t="s">
        <v>3000</v>
      </c>
      <c r="I65" s="663"/>
      <c r="J65" s="663"/>
      <c r="K65" s="663"/>
      <c r="L65" s="149" t="str">
        <f t="shared" si="0"/>
        <v>284C</v>
      </c>
      <c r="M65" s="150" t="str">
        <f t="shared" si="1"/>
        <v>EQUIPEMENTS INFORMATIQUE</v>
      </c>
      <c r="N65" s="151">
        <f>+IF(OR($Q65=Parametres!$G$2,$Q65=Parametres!$G$3),I65,C65)</f>
        <v>0</v>
      </c>
      <c r="O65" s="151">
        <f>+IF(OR($Q65=Parametres!$G$2,$Q65=Parametres!$G$3),J65,D65)</f>
        <v>23248.6</v>
      </c>
      <c r="P65" s="151">
        <f>+IF(OR($Q65=Parametres!$G$2,$Q65=Parametres!$G$3),K65,E65)</f>
        <v>23248.6</v>
      </c>
      <c r="Q65" s="150" t="str">
        <f t="shared" si="2"/>
        <v>2-Actifs</v>
      </c>
      <c r="R65" s="149" t="str">
        <f t="shared" si="3"/>
        <v>284C</v>
      </c>
      <c r="S65" s="150" t="str">
        <f t="shared" si="4"/>
        <v>_</v>
      </c>
      <c r="T65" s="152" t="str">
        <f>+VLOOKUP($L65,Data_Validation!$A:$D,1,0)</f>
        <v>284C</v>
      </c>
      <c r="U65" s="152" t="str">
        <f>+VLOOKUP($L65,Data_Validation!$A:$D,3,0)</f>
        <v>Bilan</v>
      </c>
      <c r="V65" s="152" t="str">
        <f>+VLOOKUP($L65,Data_Validation!$A:$D,4,0)</f>
        <v>Équipements Informatique</v>
      </c>
      <c r="W65" s="152" t="str">
        <f>+VLOOKUP($L65,Data_Validation!$A:$E,5,0)</f>
        <v>$</v>
      </c>
      <c r="X65" s="152">
        <f>+VLOOKUP($L65,Data_Validation!$A:$F,6,0)</f>
        <v>0</v>
      </c>
    </row>
    <row r="66" spans="1:24" ht="15" customHeight="1">
      <c r="A66" s="708" t="s">
        <v>3003</v>
      </c>
      <c r="B66" s="708" t="s">
        <v>3004</v>
      </c>
      <c r="C66" s="710">
        <v>0</v>
      </c>
      <c r="D66" s="710">
        <v>9743</v>
      </c>
      <c r="E66" s="710">
        <v>9743</v>
      </c>
      <c r="F66" s="708" t="s">
        <v>2225</v>
      </c>
      <c r="G66" s="708" t="s">
        <v>1022</v>
      </c>
      <c r="H66" s="657" t="s">
        <v>3000</v>
      </c>
      <c r="I66" s="656"/>
      <c r="J66" s="656"/>
      <c r="K66" s="656"/>
      <c r="L66" s="149" t="str">
        <f t="shared" ref="L66:L129" si="5">+B66</f>
        <v>290A</v>
      </c>
      <c r="M66" s="150" t="str">
        <f t="shared" ref="M66:M129" si="6">+A66</f>
        <v>DEPOT HYDRO</v>
      </c>
      <c r="N66" s="151">
        <f>+IF(OR($Q66=Parametres!$G$2,$Q66=Parametres!$G$3),I66,C66)</f>
        <v>0</v>
      </c>
      <c r="O66" s="151">
        <f>+IF(OR($Q66=Parametres!$G$2,$Q66=Parametres!$G$3),J66,D66)</f>
        <v>9743</v>
      </c>
      <c r="P66" s="151">
        <f>+IF(OR($Q66=Parametres!$G$2,$Q66=Parametres!$G$3),K66,E66)</f>
        <v>9743</v>
      </c>
      <c r="Q66" s="150" t="str">
        <f t="shared" ref="Q66:Q129" si="7">+F66</f>
        <v>2-Actifs</v>
      </c>
      <c r="R66" s="149" t="str">
        <f t="shared" ref="R66:R129" si="8">+G66</f>
        <v>290</v>
      </c>
      <c r="S66" s="150" t="str">
        <f t="shared" ref="S66:S129" si="9">+H66</f>
        <v>_</v>
      </c>
      <c r="T66" s="152" t="str">
        <f>+VLOOKUP($L66,Data_Validation!$A:$D,1,0)</f>
        <v>290A</v>
      </c>
      <c r="U66" s="152" t="str">
        <f>+VLOOKUP($L66,Data_Validation!$A:$D,3,0)</f>
        <v>Bilan</v>
      </c>
      <c r="V66" s="152" t="str">
        <f>+VLOOKUP($L66,Data_Validation!$A:$D,4,0)</f>
        <v>Recevables Autres</v>
      </c>
      <c r="W66" s="152" t="str">
        <f>+VLOOKUP($L66,Data_Validation!$A:$E,5,0)</f>
        <v>$</v>
      </c>
      <c r="X66" s="152">
        <f>+VLOOKUP($L66,Data_Validation!$A:$F,6,0)</f>
        <v>0</v>
      </c>
    </row>
    <row r="67" spans="1:24" ht="15" customHeight="1">
      <c r="A67" s="708" t="s">
        <v>3005</v>
      </c>
      <c r="B67" s="708" t="s">
        <v>3006</v>
      </c>
      <c r="C67" s="710">
        <v>0</v>
      </c>
      <c r="D67" s="710">
        <v>7000</v>
      </c>
      <c r="E67" s="710">
        <v>7000</v>
      </c>
      <c r="F67" s="708" t="s">
        <v>2225</v>
      </c>
      <c r="G67" s="708" t="s">
        <v>1022</v>
      </c>
      <c r="H67" s="664" t="s">
        <v>3000</v>
      </c>
      <c r="I67" s="663"/>
      <c r="J67" s="663"/>
      <c r="K67" s="663"/>
      <c r="L67" s="149" t="str">
        <f t="shared" si="5"/>
        <v>290B</v>
      </c>
      <c r="M67" s="150" t="str">
        <f t="shared" si="6"/>
        <v>DEPOT ENERGIR</v>
      </c>
      <c r="N67" s="151">
        <f>+IF(OR($Q67=Parametres!$G$2,$Q67=Parametres!$G$3),I67,C67)</f>
        <v>0</v>
      </c>
      <c r="O67" s="151">
        <f>+IF(OR($Q67=Parametres!$G$2,$Q67=Parametres!$G$3),J67,D67)</f>
        <v>7000</v>
      </c>
      <c r="P67" s="151">
        <f>+IF(OR($Q67=Parametres!$G$2,$Q67=Parametres!$G$3),K67,E67)</f>
        <v>7000</v>
      </c>
      <c r="Q67" s="150" t="str">
        <f t="shared" si="7"/>
        <v>2-Actifs</v>
      </c>
      <c r="R67" s="149" t="str">
        <f t="shared" si="8"/>
        <v>290</v>
      </c>
      <c r="S67" s="150" t="str">
        <f t="shared" si="9"/>
        <v>_</v>
      </c>
      <c r="T67" s="152" t="str">
        <f>+VLOOKUP($L67,Data_Validation!$A:$D,1,0)</f>
        <v>290B</v>
      </c>
      <c r="U67" s="152" t="str">
        <f>+VLOOKUP($L67,Data_Validation!$A:$D,3,0)</f>
        <v>Bilan</v>
      </c>
      <c r="V67" s="152" t="str">
        <f>+VLOOKUP($L67,Data_Validation!$A:$D,4,0)</f>
        <v>Recevables Autres</v>
      </c>
      <c r="W67" s="152" t="str">
        <f>+VLOOKUP($L67,Data_Validation!$A:$E,5,0)</f>
        <v>$</v>
      </c>
      <c r="X67" s="152">
        <f>+VLOOKUP($L67,Data_Validation!$A:$F,6,0)</f>
        <v>0</v>
      </c>
    </row>
    <row r="68" spans="1:24" ht="15" customHeight="1">
      <c r="A68" s="708" t="s">
        <v>3007</v>
      </c>
      <c r="B68" s="708" t="s">
        <v>1367</v>
      </c>
      <c r="C68" s="710">
        <v>0</v>
      </c>
      <c r="D68" s="710">
        <v>9500000</v>
      </c>
      <c r="E68" s="710">
        <v>9500000</v>
      </c>
      <c r="F68" s="708" t="s">
        <v>2225</v>
      </c>
      <c r="G68" s="708" t="s">
        <v>1367</v>
      </c>
      <c r="H68" s="657" t="s">
        <v>3000</v>
      </c>
      <c r="I68" s="656"/>
      <c r="J68" s="656"/>
      <c r="K68" s="656"/>
      <c r="L68" s="149" t="str">
        <f t="shared" si="5"/>
        <v>296</v>
      </c>
      <c r="M68" s="150" t="str">
        <f t="shared" si="6"/>
        <v>GOODWILLL</v>
      </c>
      <c r="N68" s="151">
        <f>+IF(OR($Q68=Parametres!$G$2,$Q68=Parametres!$G$3),I68,C68)</f>
        <v>0</v>
      </c>
      <c r="O68" s="151">
        <f>+IF(OR($Q68=Parametres!$G$2,$Q68=Parametres!$G$3),J68,D68)</f>
        <v>9500000</v>
      </c>
      <c r="P68" s="151">
        <f>+IF(OR($Q68=Parametres!$G$2,$Q68=Parametres!$G$3),K68,E68)</f>
        <v>9500000</v>
      </c>
      <c r="Q68" s="150" t="str">
        <f t="shared" si="7"/>
        <v>2-Actifs</v>
      </c>
      <c r="R68" s="149" t="str">
        <f t="shared" si="8"/>
        <v>296</v>
      </c>
      <c r="S68" s="150" t="str">
        <f t="shared" si="9"/>
        <v>_</v>
      </c>
      <c r="T68" s="152" t="str">
        <f>+VLOOKUP($L68,Data_Validation!$A:$D,1,0)</f>
        <v>296</v>
      </c>
      <c r="U68" s="152" t="str">
        <f>+VLOOKUP($L68,Data_Validation!$A:$D,3,0)</f>
        <v>Bilan</v>
      </c>
      <c r="V68" s="152" t="str">
        <f>+VLOOKUP($L68,Data_Validation!$A:$D,4,0)</f>
        <v>Achalandage</v>
      </c>
      <c r="W68" s="152" t="str">
        <f>+VLOOKUP($L68,Data_Validation!$A:$E,5,0)</f>
        <v>$</v>
      </c>
      <c r="X68" s="152">
        <f>+VLOOKUP($L68,Data_Validation!$A:$F,6,0)</f>
        <v>0</v>
      </c>
    </row>
    <row r="69" spans="1:24" ht="15" customHeight="1">
      <c r="A69" s="708" t="s">
        <v>3008</v>
      </c>
      <c r="B69" s="708" t="s">
        <v>2492</v>
      </c>
      <c r="C69" s="710">
        <v>0</v>
      </c>
      <c r="D69" s="710">
        <v>-1100000</v>
      </c>
      <c r="E69" s="710">
        <v>-1100000</v>
      </c>
      <c r="F69" s="708" t="s">
        <v>2225</v>
      </c>
      <c r="G69" s="708" t="s">
        <v>2492</v>
      </c>
      <c r="H69" s="664" t="s">
        <v>3000</v>
      </c>
      <c r="I69" s="663"/>
      <c r="J69" s="663"/>
      <c r="K69" s="663"/>
      <c r="L69" s="149" t="str">
        <f t="shared" si="5"/>
        <v>297</v>
      </c>
      <c r="M69" s="150" t="str">
        <f t="shared" si="6"/>
        <v>AVANCE 13721515 CANADA INC</v>
      </c>
      <c r="N69" s="151">
        <f>+IF(OR($Q69=Parametres!$G$2,$Q69=Parametres!$G$3),I69,C69)</f>
        <v>0</v>
      </c>
      <c r="O69" s="151">
        <f>+IF(OR($Q69=Parametres!$G$2,$Q69=Parametres!$G$3),J69,D69)</f>
        <v>-1100000</v>
      </c>
      <c r="P69" s="151">
        <f>+IF(OR($Q69=Parametres!$G$2,$Q69=Parametres!$G$3),K69,E69)</f>
        <v>-1100000</v>
      </c>
      <c r="Q69" s="150" t="str">
        <f t="shared" si="7"/>
        <v>2-Actifs</v>
      </c>
      <c r="R69" s="149" t="str">
        <f t="shared" si="8"/>
        <v>297</v>
      </c>
      <c r="S69" s="150" t="str">
        <f t="shared" si="9"/>
        <v>_</v>
      </c>
      <c r="T69" s="152" t="str">
        <f>+VLOOKUP($L69,Data_Validation!$A:$D,1,0)</f>
        <v>297</v>
      </c>
      <c r="U69" s="152" t="str">
        <f>+VLOOKUP($L69,Data_Validation!$A:$D,3,0)</f>
        <v>Bilan</v>
      </c>
      <c r="V69" s="152" t="str">
        <f>+VLOOKUP($L69,Data_Validation!$A:$D,4,0)</f>
        <v>Avances à Recevoir Long Terme</v>
      </c>
      <c r="W69" s="152" t="str">
        <f>+VLOOKUP($L69,Data_Validation!$A:$E,5,0)</f>
        <v>$</v>
      </c>
      <c r="X69" s="152">
        <f>+VLOOKUP($L69,Data_Validation!$A:$F,6,0)</f>
        <v>0</v>
      </c>
    </row>
    <row r="70" spans="1:24" ht="15" customHeight="1">
      <c r="A70" s="708" t="s">
        <v>3009</v>
      </c>
      <c r="B70" s="708" t="s">
        <v>3010</v>
      </c>
      <c r="C70" s="710">
        <v>0</v>
      </c>
      <c r="D70" s="710">
        <v>1000000</v>
      </c>
      <c r="E70" s="710">
        <v>1000000</v>
      </c>
      <c r="F70" s="708" t="s">
        <v>2225</v>
      </c>
      <c r="G70" s="708" t="s">
        <v>2492</v>
      </c>
      <c r="H70" s="657" t="s">
        <v>3000</v>
      </c>
      <c r="I70" s="656"/>
      <c r="J70" s="656"/>
      <c r="K70" s="656"/>
      <c r="L70" s="149" t="str">
        <f t="shared" si="5"/>
        <v>297A</v>
      </c>
      <c r="M70" s="150" t="str">
        <f t="shared" si="6"/>
        <v>AVANCE HYUNDAY LONGUEUIL</v>
      </c>
      <c r="N70" s="151">
        <f>+IF(OR($Q70=Parametres!$G$2,$Q70=Parametres!$G$3),I70,C70)</f>
        <v>0</v>
      </c>
      <c r="O70" s="151">
        <f>+IF(OR($Q70=Parametres!$G$2,$Q70=Parametres!$G$3),J70,D70)</f>
        <v>1000000</v>
      </c>
      <c r="P70" s="151">
        <f>+IF(OR($Q70=Parametres!$G$2,$Q70=Parametres!$G$3),K70,E70)</f>
        <v>1000000</v>
      </c>
      <c r="Q70" s="150" t="str">
        <f t="shared" si="7"/>
        <v>2-Actifs</v>
      </c>
      <c r="R70" s="149" t="str">
        <f t="shared" si="8"/>
        <v>297</v>
      </c>
      <c r="S70" s="150" t="str">
        <f t="shared" si="9"/>
        <v>_</v>
      </c>
      <c r="T70" s="152" t="str">
        <f>+VLOOKUP($L70,Data_Validation!$A:$D,1,0)</f>
        <v>297A</v>
      </c>
      <c r="U70" s="152" t="str">
        <f>+VLOOKUP($L70,Data_Validation!$A:$D,3,0)</f>
        <v>Bilan</v>
      </c>
      <c r="V70" s="152" t="str">
        <f>+VLOOKUP($L70,Data_Validation!$A:$D,4,0)</f>
        <v>Avances à Recevoir Long Terme</v>
      </c>
      <c r="W70" s="152" t="str">
        <f>+VLOOKUP($L70,Data_Validation!$A:$E,5,0)</f>
        <v>$</v>
      </c>
      <c r="X70" s="152">
        <f>+VLOOKUP($L70,Data_Validation!$A:$F,6,0)</f>
        <v>0</v>
      </c>
    </row>
    <row r="71" spans="1:24" ht="15" customHeight="1">
      <c r="A71" s="708" t="s">
        <v>3018</v>
      </c>
      <c r="B71" s="708" t="s">
        <v>3019</v>
      </c>
      <c r="C71" s="710">
        <v>0</v>
      </c>
      <c r="D71" s="710">
        <v>10000</v>
      </c>
      <c r="E71" s="710">
        <v>10000</v>
      </c>
      <c r="F71" s="708" t="s">
        <v>2225</v>
      </c>
      <c r="G71" s="708" t="s">
        <v>2492</v>
      </c>
      <c r="H71" s="664" t="s">
        <v>3000</v>
      </c>
      <c r="I71" s="663"/>
      <c r="J71" s="663"/>
      <c r="K71" s="663"/>
      <c r="L71" s="149" t="str">
        <f t="shared" si="5"/>
        <v>297B</v>
      </c>
      <c r="M71" s="150" t="str">
        <f t="shared" si="6"/>
        <v>AVANCE 9548-3442 QC INC (IMMO)</v>
      </c>
      <c r="N71" s="151">
        <f>+IF(OR($Q71=Parametres!$G$2,$Q71=Parametres!$G$3),I71,C71)</f>
        <v>0</v>
      </c>
      <c r="O71" s="151">
        <f>+IF(OR($Q71=Parametres!$G$2,$Q71=Parametres!$G$3),J71,D71)</f>
        <v>10000</v>
      </c>
      <c r="P71" s="151">
        <f>+IF(OR($Q71=Parametres!$G$2,$Q71=Parametres!$G$3),K71,E71)</f>
        <v>10000</v>
      </c>
      <c r="Q71" s="150" t="str">
        <f t="shared" si="7"/>
        <v>2-Actifs</v>
      </c>
      <c r="R71" s="149" t="str">
        <f t="shared" si="8"/>
        <v>297</v>
      </c>
      <c r="S71" s="150" t="str">
        <f t="shared" si="9"/>
        <v>_</v>
      </c>
      <c r="T71" s="152" t="str">
        <f>+VLOOKUP($L71,Data_Validation!$A:$D,1,0)</f>
        <v>297B</v>
      </c>
      <c r="U71" s="152" t="str">
        <f>+VLOOKUP($L71,Data_Validation!$A:$D,3,0)</f>
        <v>Bilan</v>
      </c>
      <c r="V71" s="152" t="str">
        <f>+VLOOKUP($L71,Data_Validation!$A:$D,4,0)</f>
        <v>Avances à Recevoir Long Terme</v>
      </c>
      <c r="W71" s="152" t="str">
        <f>+VLOOKUP($L71,Data_Validation!$A:$E,5,0)</f>
        <v>$</v>
      </c>
      <c r="X71" s="152">
        <f>+VLOOKUP($L71,Data_Validation!$A:$F,6,0)</f>
        <v>0</v>
      </c>
    </row>
    <row r="72" spans="1:24" ht="15" customHeight="1">
      <c r="A72" s="708" t="s">
        <v>1846</v>
      </c>
      <c r="B72" s="708" t="s">
        <v>354</v>
      </c>
      <c r="C72" s="710">
        <v>0</v>
      </c>
      <c r="D72" s="710">
        <v>-218722.23</v>
      </c>
      <c r="E72" s="710">
        <v>-218722.23</v>
      </c>
      <c r="F72" s="708" t="s">
        <v>2226</v>
      </c>
      <c r="G72" s="708" t="s">
        <v>354</v>
      </c>
      <c r="H72" s="664" t="s">
        <v>3000</v>
      </c>
      <c r="I72" s="663"/>
      <c r="J72" s="663"/>
      <c r="K72" s="663"/>
      <c r="L72" s="149" t="str">
        <f t="shared" si="5"/>
        <v>300</v>
      </c>
      <c r="M72" s="150" t="str">
        <f t="shared" si="6"/>
        <v>COMPTES FOURNISSEURS</v>
      </c>
      <c r="N72" s="151">
        <f>+IF(OR($Q72=Parametres!$G$2,$Q72=Parametres!$G$3),I72,C72)</f>
        <v>0</v>
      </c>
      <c r="O72" s="151">
        <f>+IF(OR($Q72=Parametres!$G$2,$Q72=Parametres!$G$3),J72,D72)</f>
        <v>-218722.23</v>
      </c>
      <c r="P72" s="151">
        <f>+IF(OR($Q72=Parametres!$G$2,$Q72=Parametres!$G$3),K72,E72)</f>
        <v>-218722.23</v>
      </c>
      <c r="Q72" s="150" t="str">
        <f t="shared" si="7"/>
        <v>3-Passifs</v>
      </c>
      <c r="R72" s="149" t="str">
        <f t="shared" si="8"/>
        <v>300</v>
      </c>
      <c r="S72" s="150" t="str">
        <f t="shared" si="9"/>
        <v>_</v>
      </c>
      <c r="T72" s="152" t="str">
        <f>+VLOOKUP($L72,Data_Validation!$A:$D,1,0)</f>
        <v>300</v>
      </c>
      <c r="U72" s="152" t="str">
        <f>+VLOOKUP($L72,Data_Validation!$A:$D,3,0)</f>
        <v>Bilan</v>
      </c>
      <c r="V72" s="152" t="str">
        <f>+VLOOKUP($L72,Data_Validation!$A:$D,4,0)</f>
        <v>Comptes à Payer Fournisseurs</v>
      </c>
      <c r="W72" s="152" t="str">
        <f>+VLOOKUP($L72,Data_Validation!$A:$E,5,0)</f>
        <v>$</v>
      </c>
      <c r="X72" s="152">
        <f>+VLOOKUP($L72,Data_Validation!$A:$F,6,0)</f>
        <v>0</v>
      </c>
    </row>
    <row r="73" spans="1:24" ht="15" customHeight="1">
      <c r="A73" s="708" t="s">
        <v>1835</v>
      </c>
      <c r="B73" s="708" t="s">
        <v>957</v>
      </c>
      <c r="C73" s="710">
        <v>0</v>
      </c>
      <c r="D73" s="710">
        <v>25321.05</v>
      </c>
      <c r="E73" s="710">
        <v>25321.05</v>
      </c>
      <c r="F73" s="708" t="s">
        <v>2226</v>
      </c>
      <c r="G73" s="708" t="s">
        <v>354</v>
      </c>
      <c r="H73" s="657" t="s">
        <v>3000</v>
      </c>
      <c r="I73" s="656"/>
      <c r="J73" s="656"/>
      <c r="K73" s="656"/>
      <c r="L73" s="149" t="str">
        <f t="shared" si="5"/>
        <v>300B</v>
      </c>
      <c r="M73" s="150" t="str">
        <f t="shared" si="6"/>
        <v>ETAT DE COMPTE BMW CANADA</v>
      </c>
      <c r="N73" s="151">
        <f>+IF(OR($Q73=Parametres!$G$2,$Q73=Parametres!$G$3),I73,C73)</f>
        <v>0</v>
      </c>
      <c r="O73" s="151">
        <f>+IF(OR($Q73=Parametres!$G$2,$Q73=Parametres!$G$3),J73,D73)</f>
        <v>25321.05</v>
      </c>
      <c r="P73" s="151">
        <f>+IF(OR($Q73=Parametres!$G$2,$Q73=Parametres!$G$3),K73,E73)</f>
        <v>25321.05</v>
      </c>
      <c r="Q73" s="150" t="str">
        <f t="shared" si="7"/>
        <v>3-Passifs</v>
      </c>
      <c r="R73" s="149" t="str">
        <f t="shared" si="8"/>
        <v>300</v>
      </c>
      <c r="S73" s="150" t="str">
        <f t="shared" si="9"/>
        <v>_</v>
      </c>
      <c r="T73" s="152" t="str">
        <f>+VLOOKUP($L73,Data_Validation!$A:$D,1,0)</f>
        <v>300B</v>
      </c>
      <c r="U73" s="152" t="str">
        <f>+VLOOKUP($L73,Data_Validation!$A:$D,3,0)</f>
        <v>Bilan</v>
      </c>
      <c r="V73" s="152" t="str">
        <f>+VLOOKUP($L73,Data_Validation!$A:$D,4,0)</f>
        <v>Autres Comptes à Payer</v>
      </c>
      <c r="W73" s="152" t="str">
        <f>+VLOOKUP($L73,Data_Validation!$A:$E,5,0)</f>
        <v>$</v>
      </c>
      <c r="X73" s="152">
        <f>+VLOOKUP($L73,Data_Validation!$A:$F,6,0)</f>
        <v>0</v>
      </c>
    </row>
    <row r="74" spans="1:24" ht="15" customHeight="1">
      <c r="A74" s="708" t="s">
        <v>1185</v>
      </c>
      <c r="B74" s="708" t="s">
        <v>1017</v>
      </c>
      <c r="C74" s="710">
        <v>0</v>
      </c>
      <c r="D74" s="710">
        <v>-3550</v>
      </c>
      <c r="E74" s="710">
        <v>-3550</v>
      </c>
      <c r="F74" s="708" t="s">
        <v>2226</v>
      </c>
      <c r="G74" s="708" t="s">
        <v>354</v>
      </c>
      <c r="H74" s="664" t="s">
        <v>3000</v>
      </c>
      <c r="I74" s="663"/>
      <c r="J74" s="663"/>
      <c r="K74" s="663"/>
      <c r="L74" s="149" t="str">
        <f t="shared" si="5"/>
        <v>300D</v>
      </c>
      <c r="M74" s="150" t="str">
        <f t="shared" si="6"/>
        <v>PROTECTION BMW A/P</v>
      </c>
      <c r="N74" s="151">
        <f>+IF(OR($Q74=Parametres!$G$2,$Q74=Parametres!$G$3),I74,C74)</f>
        <v>0</v>
      </c>
      <c r="O74" s="151">
        <f>+IF(OR($Q74=Parametres!$G$2,$Q74=Parametres!$G$3),J74,D74)</f>
        <v>-3550</v>
      </c>
      <c r="P74" s="151">
        <f>+IF(OR($Q74=Parametres!$G$2,$Q74=Parametres!$G$3),K74,E74)</f>
        <v>-3550</v>
      </c>
      <c r="Q74" s="150" t="str">
        <f t="shared" si="7"/>
        <v>3-Passifs</v>
      </c>
      <c r="R74" s="149" t="str">
        <f t="shared" si="8"/>
        <v>300</v>
      </c>
      <c r="S74" s="150" t="str">
        <f t="shared" si="9"/>
        <v>_</v>
      </c>
      <c r="T74" s="152" t="str">
        <f>+VLOOKUP($L74,Data_Validation!$A:$D,1,0)</f>
        <v>300D</v>
      </c>
      <c r="U74" s="152" t="str">
        <f>+VLOOKUP($L74,Data_Validation!$A:$D,3,0)</f>
        <v>Bilan</v>
      </c>
      <c r="V74" s="152" t="str">
        <f>+VLOOKUP($L74,Data_Validation!$A:$D,4,0)</f>
        <v>Autres Comptes à Payer</v>
      </c>
      <c r="W74" s="152" t="str">
        <f>+VLOOKUP($L74,Data_Validation!$A:$E,5,0)</f>
        <v>$</v>
      </c>
      <c r="X74" s="152">
        <f>+VLOOKUP($L74,Data_Validation!$A:$F,6,0)</f>
        <v>0</v>
      </c>
    </row>
    <row r="75" spans="1:24" ht="15" customHeight="1">
      <c r="A75" s="708" t="s">
        <v>1661</v>
      </c>
      <c r="B75" s="708" t="s">
        <v>885</v>
      </c>
      <c r="C75" s="710">
        <v>0</v>
      </c>
      <c r="D75" s="710">
        <v>-375</v>
      </c>
      <c r="E75" s="710">
        <v>-375</v>
      </c>
      <c r="F75" s="708" t="s">
        <v>2226</v>
      </c>
      <c r="G75" s="708" t="s">
        <v>2248</v>
      </c>
      <c r="H75" s="657" t="s">
        <v>3000</v>
      </c>
      <c r="I75" s="656"/>
      <c r="J75" s="656"/>
      <c r="K75" s="656"/>
      <c r="L75" s="149" t="str">
        <f t="shared" si="5"/>
        <v>300H</v>
      </c>
      <c r="M75" s="150" t="str">
        <f t="shared" si="6"/>
        <v>RESERVE GARANTIE LEGALE USAGE</v>
      </c>
      <c r="N75" s="151">
        <f>+IF(OR($Q75=Parametres!$G$2,$Q75=Parametres!$G$3),I75,C75)</f>
        <v>0</v>
      </c>
      <c r="O75" s="151">
        <f>+IF(OR($Q75=Parametres!$G$2,$Q75=Parametres!$G$3),J75,D75)</f>
        <v>-375</v>
      </c>
      <c r="P75" s="151">
        <f>+IF(OR($Q75=Parametres!$G$2,$Q75=Parametres!$G$3),K75,E75)</f>
        <v>-375</v>
      </c>
      <c r="Q75" s="150" t="str">
        <f t="shared" si="7"/>
        <v>3-Passifs</v>
      </c>
      <c r="R75" s="149" t="str">
        <f t="shared" si="8"/>
        <v>301</v>
      </c>
      <c r="S75" s="150" t="str">
        <f t="shared" si="9"/>
        <v>_</v>
      </c>
      <c r="T75" s="152" t="str">
        <f>+VLOOKUP($L75,Data_Validation!$A:$D,1,0)</f>
        <v>300H</v>
      </c>
      <c r="U75" s="152" t="str">
        <f>+VLOOKUP($L75,Data_Validation!$A:$D,3,0)</f>
        <v>Bilan</v>
      </c>
      <c r="V75" s="152" t="str">
        <f>+VLOOKUP($L75,Data_Validation!$A:$D,4,0)</f>
        <v>autres courus</v>
      </c>
      <c r="W75" s="152" t="str">
        <f>+VLOOKUP($L75,Data_Validation!$A:$E,5,0)</f>
        <v>$</v>
      </c>
      <c r="X75" s="152">
        <f>+VLOOKUP($L75,Data_Validation!$A:$F,6,0)</f>
        <v>0</v>
      </c>
    </row>
    <row r="76" spans="1:24" ht="15" customHeight="1">
      <c r="A76" s="708" t="s">
        <v>3011</v>
      </c>
      <c r="B76" s="708" t="s">
        <v>459</v>
      </c>
      <c r="C76" s="710">
        <v>0</v>
      </c>
      <c r="D76" s="710">
        <v>-8218.14</v>
      </c>
      <c r="E76" s="710">
        <v>-8218.14</v>
      </c>
      <c r="F76" s="708" t="s">
        <v>2226</v>
      </c>
      <c r="G76" s="708" t="s">
        <v>354</v>
      </c>
      <c r="H76" s="664" t="s">
        <v>3000</v>
      </c>
      <c r="I76" s="663"/>
      <c r="J76" s="663"/>
      <c r="K76" s="663"/>
      <c r="L76" s="149" t="str">
        <f t="shared" si="5"/>
        <v>300I</v>
      </c>
      <c r="M76" s="150" t="str">
        <f t="shared" si="6"/>
        <v>PROTECTION LGM A/P</v>
      </c>
      <c r="N76" s="151">
        <f>+IF(OR($Q76=Parametres!$G$2,$Q76=Parametres!$G$3),I76,C76)</f>
        <v>0</v>
      </c>
      <c r="O76" s="151">
        <f>+IF(OR($Q76=Parametres!$G$2,$Q76=Parametres!$G$3),J76,D76)</f>
        <v>-8218.14</v>
      </c>
      <c r="P76" s="151">
        <f>+IF(OR($Q76=Parametres!$G$2,$Q76=Parametres!$G$3),K76,E76)</f>
        <v>-8218.14</v>
      </c>
      <c r="Q76" s="150" t="str">
        <f t="shared" si="7"/>
        <v>3-Passifs</v>
      </c>
      <c r="R76" s="149" t="str">
        <f t="shared" si="8"/>
        <v>300</v>
      </c>
      <c r="S76" s="150" t="str">
        <f t="shared" si="9"/>
        <v>_</v>
      </c>
      <c r="T76" s="152" t="str">
        <f>+VLOOKUP($L76,Data_Validation!$A:$D,1,0)</f>
        <v>300I</v>
      </c>
      <c r="U76" s="152" t="str">
        <f>+VLOOKUP($L76,Data_Validation!$A:$D,3,0)</f>
        <v>Bilan</v>
      </c>
      <c r="V76" s="152" t="str">
        <f>+VLOOKUP($L76,Data_Validation!$A:$D,4,0)</f>
        <v>Autres Comptes à Payer</v>
      </c>
      <c r="W76" s="152" t="str">
        <f>+VLOOKUP($L76,Data_Validation!$A:$E,5,0)</f>
        <v>$</v>
      </c>
      <c r="X76" s="152">
        <f>+VLOOKUP($L76,Data_Validation!$A:$F,6,0)</f>
        <v>0</v>
      </c>
    </row>
    <row r="77" spans="1:24" ht="15" customHeight="1">
      <c r="A77" s="708" t="s">
        <v>2548</v>
      </c>
      <c r="B77" s="708" t="s">
        <v>1919</v>
      </c>
      <c r="C77" s="710">
        <v>0</v>
      </c>
      <c r="D77" s="710">
        <v>-3472.48</v>
      </c>
      <c r="E77" s="710">
        <v>-3472.48</v>
      </c>
      <c r="F77" s="708" t="s">
        <v>2226</v>
      </c>
      <c r="G77" s="708" t="s">
        <v>2248</v>
      </c>
      <c r="H77" s="657" t="s">
        <v>3000</v>
      </c>
      <c r="I77" s="656"/>
      <c r="J77" s="656"/>
      <c r="K77" s="656"/>
      <c r="L77" s="149" t="str">
        <f t="shared" si="5"/>
        <v>301A</v>
      </c>
      <c r="M77" s="150" t="str">
        <f t="shared" si="6"/>
        <v>FRAIS TPV A PAYER</v>
      </c>
      <c r="N77" s="151">
        <f>+IF(OR($Q77=Parametres!$G$2,$Q77=Parametres!$G$3),I77,C77)</f>
        <v>0</v>
      </c>
      <c r="O77" s="151">
        <f>+IF(OR($Q77=Parametres!$G$2,$Q77=Parametres!$G$3),J77,D77)</f>
        <v>-3472.48</v>
      </c>
      <c r="P77" s="151">
        <f>+IF(OR($Q77=Parametres!$G$2,$Q77=Parametres!$G$3),K77,E77)</f>
        <v>-3472.48</v>
      </c>
      <c r="Q77" s="150" t="str">
        <f t="shared" si="7"/>
        <v>3-Passifs</v>
      </c>
      <c r="R77" s="149" t="str">
        <f t="shared" si="8"/>
        <v>301</v>
      </c>
      <c r="S77" s="150" t="str">
        <f t="shared" si="9"/>
        <v>_</v>
      </c>
      <c r="T77" s="152" t="str">
        <f>+VLOOKUP($L77,Data_Validation!$A:$D,1,0)</f>
        <v>301A</v>
      </c>
      <c r="U77" s="152" t="str">
        <f>+VLOOKUP($L77,Data_Validation!$A:$D,3,0)</f>
        <v>Bilan</v>
      </c>
      <c r="V77" s="152" t="str">
        <f>+VLOOKUP($L77,Data_Validation!$A:$D,4,0)</f>
        <v>Comptes à Payer Fournisseurs</v>
      </c>
      <c r="W77" s="152" t="str">
        <f>+VLOOKUP($L77,Data_Validation!$A:$E,5,0)</f>
        <v>$</v>
      </c>
      <c r="X77" s="152">
        <f>+VLOOKUP($L77,Data_Validation!$A:$F,6,0)</f>
        <v>0</v>
      </c>
    </row>
    <row r="78" spans="1:24" ht="15" customHeight="1">
      <c r="A78" s="708" t="s">
        <v>2440</v>
      </c>
      <c r="B78" s="708" t="s">
        <v>2441</v>
      </c>
      <c r="C78" s="710">
        <v>0</v>
      </c>
      <c r="D78" s="710">
        <v>-20053.18</v>
      </c>
      <c r="E78" s="710">
        <v>-20053.18</v>
      </c>
      <c r="F78" s="708" t="s">
        <v>2226</v>
      </c>
      <c r="G78" s="708" t="s">
        <v>2248</v>
      </c>
      <c r="H78" s="664" t="s">
        <v>3000</v>
      </c>
      <c r="I78" s="663"/>
      <c r="J78" s="663"/>
      <c r="K78" s="663"/>
      <c r="L78" s="149" t="str">
        <f t="shared" si="5"/>
        <v>301B</v>
      </c>
      <c r="M78" s="150" t="str">
        <f t="shared" si="6"/>
        <v>INTERET DE GROS A PAYER</v>
      </c>
      <c r="N78" s="151">
        <f>+IF(OR($Q78=Parametres!$G$2,$Q78=Parametres!$G$3),I78,C78)</f>
        <v>0</v>
      </c>
      <c r="O78" s="151">
        <f>+IF(OR($Q78=Parametres!$G$2,$Q78=Parametres!$G$3),J78,D78)</f>
        <v>-20053.18</v>
      </c>
      <c r="P78" s="151">
        <f>+IF(OR($Q78=Parametres!$G$2,$Q78=Parametres!$G$3),K78,E78)</f>
        <v>-20053.18</v>
      </c>
      <c r="Q78" s="150" t="str">
        <f t="shared" si="7"/>
        <v>3-Passifs</v>
      </c>
      <c r="R78" s="149" t="str">
        <f t="shared" si="8"/>
        <v>301</v>
      </c>
      <c r="S78" s="150" t="str">
        <f t="shared" si="9"/>
        <v>_</v>
      </c>
      <c r="T78" s="152" t="str">
        <f>+VLOOKUP($L78,Data_Validation!$A:$D,1,0)</f>
        <v>301B</v>
      </c>
      <c r="U78" s="152" t="str">
        <f>+VLOOKUP($L78,Data_Validation!$A:$D,3,0)</f>
        <v>Bilan</v>
      </c>
      <c r="V78" s="152" t="str">
        <f>+VLOOKUP($L78,Data_Validation!$A:$D,4,0)</f>
        <v>Comptes à Payer Fournisseurs</v>
      </c>
      <c r="W78" s="152" t="str">
        <f>+VLOOKUP($L78,Data_Validation!$A:$E,5,0)</f>
        <v>$</v>
      </c>
      <c r="X78" s="152">
        <f>+VLOOKUP($L78,Data_Validation!$A:$F,6,0)</f>
        <v>0</v>
      </c>
    </row>
    <row r="79" spans="1:24" ht="15" customHeight="1">
      <c r="A79" s="708" t="s">
        <v>391</v>
      </c>
      <c r="B79" s="708" t="s">
        <v>377</v>
      </c>
      <c r="C79" s="710">
        <v>0</v>
      </c>
      <c r="D79" s="710">
        <v>-153000</v>
      </c>
      <c r="E79" s="710">
        <v>-153000</v>
      </c>
      <c r="F79" s="708" t="s">
        <v>2226</v>
      </c>
      <c r="G79" s="708" t="s">
        <v>377</v>
      </c>
      <c r="H79" s="664" t="s">
        <v>3000</v>
      </c>
      <c r="I79" s="663"/>
      <c r="J79" s="663"/>
      <c r="K79" s="663"/>
      <c r="L79" s="149" t="str">
        <f t="shared" si="5"/>
        <v>303</v>
      </c>
      <c r="M79" s="150" t="str">
        <f t="shared" si="6"/>
        <v>DEPOTS DE CLIENTS</v>
      </c>
      <c r="N79" s="151">
        <f>+IF(OR($Q79=Parametres!$G$2,$Q79=Parametres!$G$3),I79,C79)</f>
        <v>0</v>
      </c>
      <c r="O79" s="151">
        <f>+IF(OR($Q79=Parametres!$G$2,$Q79=Parametres!$G$3),J79,D79)</f>
        <v>-153000</v>
      </c>
      <c r="P79" s="151">
        <f>+IF(OR($Q79=Parametres!$G$2,$Q79=Parametres!$G$3),K79,E79)</f>
        <v>-153000</v>
      </c>
      <c r="Q79" s="150" t="str">
        <f t="shared" si="7"/>
        <v>3-Passifs</v>
      </c>
      <c r="R79" s="149" t="str">
        <f t="shared" si="8"/>
        <v>303</v>
      </c>
      <c r="S79" s="150" t="str">
        <f t="shared" si="9"/>
        <v>_</v>
      </c>
      <c r="T79" s="152" t="str">
        <f>+VLOOKUP($L79,Data_Validation!$A:$D,1,0)</f>
        <v>303</v>
      </c>
      <c r="U79" s="152" t="str">
        <f>+VLOOKUP($L79,Data_Validation!$A:$D,3,0)</f>
        <v>Bilan</v>
      </c>
      <c r="V79" s="152" t="str">
        <f>+VLOOKUP($L79,Data_Validation!$A:$D,4,0)</f>
        <v>Dépôts de Client</v>
      </c>
      <c r="W79" s="152" t="str">
        <f>+VLOOKUP($L79,Data_Validation!$A:$E,5,0)</f>
        <v>$</v>
      </c>
      <c r="X79" s="152">
        <f>+VLOOKUP($L79,Data_Validation!$A:$F,6,0)</f>
        <v>0</v>
      </c>
    </row>
    <row r="80" spans="1:24" ht="15.75" customHeight="1">
      <c r="A80" s="708" t="s">
        <v>1851</v>
      </c>
      <c r="B80" s="708" t="s">
        <v>363</v>
      </c>
      <c r="C80" s="710">
        <v>0</v>
      </c>
      <c r="D80" s="710">
        <v>-7321110.0099999998</v>
      </c>
      <c r="E80" s="710">
        <v>-7321110.0099999998</v>
      </c>
      <c r="F80" s="708" t="s">
        <v>2226</v>
      </c>
      <c r="G80" s="708" t="s">
        <v>363</v>
      </c>
      <c r="H80" s="600" t="s">
        <v>3000</v>
      </c>
      <c r="I80" s="602"/>
      <c r="J80" s="602"/>
      <c r="K80" s="602"/>
      <c r="L80" s="149" t="str">
        <f t="shared" si="5"/>
        <v>310</v>
      </c>
      <c r="M80" s="150" t="str">
        <f t="shared" si="6"/>
        <v>FINANCEMENT VEHICULES NEUFS</v>
      </c>
      <c r="N80" s="151">
        <f>+IF(OR($Q80=Parametres!$G$2,$Q80=Parametres!$G$3),I80,C80)</f>
        <v>0</v>
      </c>
      <c r="O80" s="497">
        <f>+IF(OR($Q80=Parametres!$G$2,$Q80=Parametres!$G$3),J80,D80)</f>
        <v>-7321110.0099999998</v>
      </c>
      <c r="P80" s="151">
        <f>+IF(OR($Q80=Parametres!$G$2,$Q80=Parametres!$G$3),K80,E80)</f>
        <v>-7321110.0099999998</v>
      </c>
      <c r="Q80" s="150" t="str">
        <f t="shared" si="7"/>
        <v>3-Passifs</v>
      </c>
      <c r="R80" s="149" t="str">
        <f t="shared" si="8"/>
        <v>310</v>
      </c>
      <c r="S80" s="150" t="str">
        <f t="shared" si="9"/>
        <v>_</v>
      </c>
      <c r="T80" s="152" t="str">
        <f>+VLOOKUP($L80,Data_Validation!$A:$D,1,0)</f>
        <v>310</v>
      </c>
      <c r="U80" s="152" t="str">
        <f>+VLOOKUP($L80,Data_Validation!$A:$D,3,0)</f>
        <v>Bilan</v>
      </c>
      <c r="V80" s="152" t="str">
        <f>+VLOOKUP($L80,Data_Validation!$A:$D,4,0)</f>
        <v>Effet à Payer Véhicules Neufs</v>
      </c>
      <c r="W80" s="152" t="str">
        <f>+VLOOKUP($L80,Data_Validation!$A:$E,5,0)</f>
        <v>$</v>
      </c>
      <c r="X80" s="152">
        <f>+VLOOKUP($L80,Data_Validation!$A:$F,6,0)</f>
        <v>0</v>
      </c>
    </row>
    <row r="81" spans="1:24" ht="15" customHeight="1">
      <c r="A81" s="708" t="s">
        <v>1849</v>
      </c>
      <c r="B81" s="708" t="s">
        <v>355</v>
      </c>
      <c r="C81" s="710">
        <v>0</v>
      </c>
      <c r="D81" s="710">
        <v>-778872.67</v>
      </c>
      <c r="E81" s="710">
        <v>-778872.67</v>
      </c>
      <c r="F81" s="708" t="s">
        <v>2226</v>
      </c>
      <c r="G81" s="708" t="s">
        <v>355</v>
      </c>
      <c r="H81" s="664" t="s">
        <v>3000</v>
      </c>
      <c r="I81" s="663"/>
      <c r="J81" s="663"/>
      <c r="K81" s="663"/>
      <c r="L81" s="149" t="str">
        <f t="shared" si="5"/>
        <v>311</v>
      </c>
      <c r="M81" s="150" t="str">
        <f t="shared" si="6"/>
        <v>FINANCEMENT VEHICULES USAGES</v>
      </c>
      <c r="N81" s="151">
        <f>+IF(OR($Q81=Parametres!$G$2,$Q81=Parametres!$G$3),I81,C81)</f>
        <v>0</v>
      </c>
      <c r="O81" s="151">
        <f>+IF(OR($Q81=Parametres!$G$2,$Q81=Parametres!$G$3),J81,D81)</f>
        <v>-778872.67</v>
      </c>
      <c r="P81" s="151">
        <f>+IF(OR($Q81=Parametres!$G$2,$Q81=Parametres!$G$3),K81,E81)</f>
        <v>-778872.67</v>
      </c>
      <c r="Q81" s="150" t="str">
        <f t="shared" si="7"/>
        <v>3-Passifs</v>
      </c>
      <c r="R81" s="149" t="str">
        <f t="shared" si="8"/>
        <v>311</v>
      </c>
      <c r="S81" s="150" t="str">
        <f t="shared" si="9"/>
        <v>_</v>
      </c>
      <c r="T81" s="152" t="str">
        <f>+VLOOKUP($L81,Data_Validation!$A:$D,1,0)</f>
        <v>311</v>
      </c>
      <c r="U81" s="152" t="str">
        <f>+VLOOKUP($L81,Data_Validation!$A:$D,3,0)</f>
        <v>Bilan</v>
      </c>
      <c r="V81" s="152" t="str">
        <f>+VLOOKUP($L81,Data_Validation!$A:$D,4,0)</f>
        <v>Effet à Payer Véhicules Usagés</v>
      </c>
      <c r="W81" s="152" t="str">
        <f>+VLOOKUP($L81,Data_Validation!$A:$E,5,0)</f>
        <v>$</v>
      </c>
      <c r="X81" s="152">
        <f>+VLOOKUP($L81,Data_Validation!$A:$F,6,0)</f>
        <v>0</v>
      </c>
    </row>
    <row r="82" spans="1:24" ht="15" customHeight="1">
      <c r="A82" s="662" t="s">
        <v>1102</v>
      </c>
      <c r="B82" s="662" t="s">
        <v>1103</v>
      </c>
      <c r="C82" s="663">
        <v>0</v>
      </c>
      <c r="D82" s="663">
        <v>-14509.96</v>
      </c>
      <c r="E82" s="663">
        <v>-14509.96</v>
      </c>
      <c r="F82" s="662" t="s">
        <v>2226</v>
      </c>
      <c r="G82" s="662" t="s">
        <v>1103</v>
      </c>
      <c r="H82" s="657" t="s">
        <v>3000</v>
      </c>
      <c r="I82" s="656"/>
      <c r="J82" s="656"/>
      <c r="K82" s="656"/>
      <c r="L82" s="149" t="str">
        <f t="shared" si="5"/>
        <v>314L</v>
      </c>
      <c r="M82" s="150" t="str">
        <f t="shared" si="6"/>
        <v>LIEN A PAYER</v>
      </c>
      <c r="N82" s="151">
        <f>+IF(OR($Q82=Parametres!$G$2,$Q82=Parametres!$G$3),I82,C82)</f>
        <v>0</v>
      </c>
      <c r="O82" s="151">
        <f>+IF(OR($Q82=Parametres!$G$2,$Q82=Parametres!$G$3),J82,D82)</f>
        <v>-14509.96</v>
      </c>
      <c r="P82" s="151">
        <f>+IF(OR($Q82=Parametres!$G$2,$Q82=Parametres!$G$3),K82,E82)</f>
        <v>-14509.96</v>
      </c>
      <c r="Q82" s="150" t="str">
        <f t="shared" si="7"/>
        <v>3-Passifs</v>
      </c>
      <c r="R82" s="149" t="str">
        <f t="shared" si="8"/>
        <v>314L</v>
      </c>
      <c r="S82" s="150" t="str">
        <f t="shared" si="9"/>
        <v>_</v>
      </c>
      <c r="T82" s="152" t="str">
        <f>+VLOOKUP($L82,Data_Validation!$A:$D,1,0)</f>
        <v>314L</v>
      </c>
      <c r="U82" s="152" t="str">
        <f>+VLOOKUP($L82,Data_Validation!$A:$D,3,0)</f>
        <v>Bilan</v>
      </c>
      <c r="V82" s="152" t="str">
        <f>+VLOOKUP($L82,Data_Validation!$A:$D,4,0)</f>
        <v>Autres Comptes à Payer</v>
      </c>
      <c r="W82" s="152" t="str">
        <f>+VLOOKUP($L82,Data_Validation!$A:$E,5,0)</f>
        <v>$</v>
      </c>
      <c r="X82" s="152">
        <f>+VLOOKUP($L82,Data_Validation!$A:$F,6,0)</f>
        <v>0</v>
      </c>
    </row>
    <row r="83" spans="1:24" ht="15" customHeight="1">
      <c r="A83" s="708" t="s">
        <v>361</v>
      </c>
      <c r="B83" s="708" t="s">
        <v>424</v>
      </c>
      <c r="C83" s="710">
        <v>0</v>
      </c>
      <c r="D83" s="710">
        <v>-31804.62</v>
      </c>
      <c r="E83" s="710">
        <v>-31804.62</v>
      </c>
      <c r="F83" s="708" t="s">
        <v>2226</v>
      </c>
      <c r="G83" s="708" t="s">
        <v>424</v>
      </c>
      <c r="H83" s="664" t="s">
        <v>3000</v>
      </c>
      <c r="I83" s="663"/>
      <c r="J83" s="663"/>
      <c r="K83" s="663"/>
      <c r="L83" s="149" t="str">
        <f t="shared" si="5"/>
        <v>321</v>
      </c>
      <c r="M83" s="150" t="str">
        <f t="shared" si="6"/>
        <v>SALAIRES A PAYER</v>
      </c>
      <c r="N83" s="151">
        <f>+IF(OR($Q83=Parametres!$G$2,$Q83=Parametres!$G$3),I83,C83)</f>
        <v>0</v>
      </c>
      <c r="O83" s="151">
        <f>+IF(OR($Q83=Parametres!$G$2,$Q83=Parametres!$G$3),J83,D83)</f>
        <v>-31804.62</v>
      </c>
      <c r="P83" s="151">
        <f>+IF(OR($Q83=Parametres!$G$2,$Q83=Parametres!$G$3),K83,E83)</f>
        <v>-31804.62</v>
      </c>
      <c r="Q83" s="150" t="str">
        <f t="shared" si="7"/>
        <v>3-Passifs</v>
      </c>
      <c r="R83" s="149" t="str">
        <f t="shared" si="8"/>
        <v>321</v>
      </c>
      <c r="S83" s="150" t="str">
        <f t="shared" si="9"/>
        <v>_</v>
      </c>
      <c r="T83" s="152" t="str">
        <f>+VLOOKUP($L83,Data_Validation!$A:$D,1,0)</f>
        <v>321</v>
      </c>
      <c r="U83" s="152" t="str">
        <f>+VLOOKUP($L83,Data_Validation!$A:$D,3,0)</f>
        <v>Bilan</v>
      </c>
      <c r="V83" s="152" t="str">
        <f>+VLOOKUP($L83,Data_Validation!$A:$D,4,0)</f>
        <v>Salaires à Payer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customHeight="1">
      <c r="A84" s="708" t="s">
        <v>1108</v>
      </c>
      <c r="B84" s="708" t="s">
        <v>443</v>
      </c>
      <c r="C84" s="710">
        <v>0</v>
      </c>
      <c r="D84" s="710">
        <v>-170439.47</v>
      </c>
      <c r="E84" s="710">
        <v>-170439.47</v>
      </c>
      <c r="F84" s="708" t="s">
        <v>2226</v>
      </c>
      <c r="G84" s="708" t="s">
        <v>443</v>
      </c>
      <c r="H84" s="664" t="s">
        <v>3000</v>
      </c>
      <c r="I84" s="663"/>
      <c r="J84" s="663"/>
      <c r="K84" s="663"/>
      <c r="L84" s="149" t="str">
        <f t="shared" si="5"/>
        <v>321A</v>
      </c>
      <c r="M84" s="150" t="str">
        <f t="shared" si="6"/>
        <v>VACANCES PAYEES</v>
      </c>
      <c r="N84" s="151">
        <f>+IF(OR($Q84=Parametres!$G$2,$Q84=Parametres!$G$3),I84,C84)</f>
        <v>0</v>
      </c>
      <c r="O84" s="151">
        <f>+IF(OR($Q84=Parametres!$G$2,$Q84=Parametres!$G$3),J84,D84)</f>
        <v>-170439.47</v>
      </c>
      <c r="P84" s="151">
        <f>+IF(OR($Q84=Parametres!$G$2,$Q84=Parametres!$G$3),K84,E84)</f>
        <v>-170439.47</v>
      </c>
      <c r="Q84" s="150" t="str">
        <f t="shared" si="7"/>
        <v>3-Passifs</v>
      </c>
      <c r="R84" s="149" t="str">
        <f t="shared" si="8"/>
        <v>321A</v>
      </c>
      <c r="S84" s="150" t="str">
        <f t="shared" si="9"/>
        <v>_</v>
      </c>
      <c r="T84" s="152" t="str">
        <f>+VLOOKUP($L84,Data_Validation!$A:$D,1,0)</f>
        <v>321A</v>
      </c>
      <c r="U84" s="152" t="str">
        <f>+VLOOKUP($L84,Data_Validation!$A:$D,3,0)</f>
        <v>Bilan</v>
      </c>
      <c r="V84" s="152" t="str">
        <f>+VLOOKUP($L84,Data_Validation!$A:$D,4,0)</f>
        <v>Salaires à Payer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customHeight="1">
      <c r="A85" s="708" t="s">
        <v>360</v>
      </c>
      <c r="B85" s="708" t="s">
        <v>919</v>
      </c>
      <c r="C85" s="710">
        <v>0</v>
      </c>
      <c r="D85" s="710">
        <v>45.49</v>
      </c>
      <c r="E85" s="710">
        <v>45.49</v>
      </c>
      <c r="F85" s="708" t="s">
        <v>2226</v>
      </c>
      <c r="G85" s="708" t="s">
        <v>443</v>
      </c>
      <c r="H85" s="664" t="s">
        <v>3000</v>
      </c>
      <c r="I85" s="663"/>
      <c r="J85" s="663"/>
      <c r="K85" s="663"/>
      <c r="L85" s="149" t="str">
        <f t="shared" si="5"/>
        <v>321B</v>
      </c>
      <c r="M85" s="150" t="str">
        <f t="shared" si="6"/>
        <v>COMMISSIONS A PAYER</v>
      </c>
      <c r="N85" s="151">
        <f>+IF(OR($Q85=Parametres!$G$2,$Q85=Parametres!$G$3),I85,C85)</f>
        <v>0</v>
      </c>
      <c r="O85" s="151">
        <f>+IF(OR($Q85=Parametres!$G$2,$Q85=Parametres!$G$3),J85,D85)</f>
        <v>45.49</v>
      </c>
      <c r="P85" s="151">
        <f>+IF(OR($Q85=Parametres!$G$2,$Q85=Parametres!$G$3),K85,E85)</f>
        <v>45.49</v>
      </c>
      <c r="Q85" s="150" t="str">
        <f t="shared" si="7"/>
        <v>3-Passifs</v>
      </c>
      <c r="R85" s="149" t="str">
        <f t="shared" si="8"/>
        <v>321A</v>
      </c>
      <c r="S85" s="150" t="str">
        <f t="shared" si="9"/>
        <v>_</v>
      </c>
      <c r="T85" s="152" t="str">
        <f>+VLOOKUP($L85,Data_Validation!$A:$D,1,0)</f>
        <v>321B</v>
      </c>
      <c r="U85" s="152" t="str">
        <f>+VLOOKUP($L85,Data_Validation!$A:$D,3,0)</f>
        <v>Bilan</v>
      </c>
      <c r="V85" s="152" t="str">
        <f>+VLOOKUP($L85,Data_Validation!$A:$D,4,0)</f>
        <v>Salaires à Payer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customHeight="1">
      <c r="A86" s="708" t="s">
        <v>2141</v>
      </c>
      <c r="B86" s="708" t="s">
        <v>2142</v>
      </c>
      <c r="C86" s="710">
        <v>0</v>
      </c>
      <c r="D86" s="710">
        <v>-622.62</v>
      </c>
      <c r="E86" s="710">
        <v>-622.62</v>
      </c>
      <c r="F86" s="708" t="s">
        <v>2226</v>
      </c>
      <c r="G86" s="708" t="s">
        <v>424</v>
      </c>
      <c r="H86" s="602" t="s">
        <v>3000</v>
      </c>
      <c r="I86" s="601"/>
      <c r="J86" s="601"/>
      <c r="K86" s="601"/>
      <c r="L86" s="149" t="str">
        <f t="shared" si="5"/>
        <v>321D</v>
      </c>
      <c r="M86" s="150" t="str">
        <f t="shared" si="6"/>
        <v>COMPTE DE DEPENSE A PAYER</v>
      </c>
      <c r="N86" s="151">
        <f>+IF(OR($Q86=Parametres!$G$2,$Q86=Parametres!$G$3),I86,C86)</f>
        <v>0</v>
      </c>
      <c r="O86" s="151">
        <f>+IF(OR($Q86=Parametres!$G$2,$Q86=Parametres!$G$3),J86,D86)</f>
        <v>-622.62</v>
      </c>
      <c r="P86" s="151">
        <f>+IF(OR($Q86=Parametres!$G$2,$Q86=Parametres!$G$3),K86,E86)</f>
        <v>-622.62</v>
      </c>
      <c r="Q86" s="150" t="str">
        <f t="shared" si="7"/>
        <v>3-Passifs</v>
      </c>
      <c r="R86" s="149" t="str">
        <f t="shared" si="8"/>
        <v>321</v>
      </c>
      <c r="S86" s="150" t="str">
        <f t="shared" si="9"/>
        <v>_</v>
      </c>
      <c r="T86" s="152" t="str">
        <f>+VLOOKUP($L86,Data_Validation!$A:$D,1,0)</f>
        <v>321D</v>
      </c>
      <c r="U86" s="152" t="str">
        <f>+VLOOKUP($L86,Data_Validation!$A:$D,3,0)</f>
        <v>bilan</v>
      </c>
      <c r="V86" s="152" t="str">
        <f>+VLOOKUP($L86,Data_Validation!$A:$D,4,0)</f>
        <v>Salaires à Payer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customHeight="1">
      <c r="A87" s="708" t="s">
        <v>1059</v>
      </c>
      <c r="B87" s="708" t="s">
        <v>1023</v>
      </c>
      <c r="C87" s="709">
        <v>0</v>
      </c>
      <c r="D87" s="1274">
        <v>-534.12</v>
      </c>
      <c r="E87" s="1274">
        <v>-534.12</v>
      </c>
      <c r="F87" s="708" t="s">
        <v>2226</v>
      </c>
      <c r="G87" s="708" t="s">
        <v>2250</v>
      </c>
      <c r="H87" s="709" t="s">
        <v>3000</v>
      </c>
      <c r="I87" s="710"/>
      <c r="J87" s="710"/>
      <c r="K87" s="710"/>
      <c r="L87" s="149" t="str">
        <f t="shared" si="5"/>
        <v>323I</v>
      </c>
      <c r="M87" s="150" t="str">
        <f t="shared" si="6"/>
        <v>COMITE PARITAIRE A PAYER</v>
      </c>
      <c r="N87" s="151">
        <f>+IF(OR($Q87=Parametres!$G$2,$Q87=Parametres!$G$3),I87,C87)</f>
        <v>0</v>
      </c>
      <c r="O87" s="497">
        <f>+IF(OR($Q87=Parametres!$G$2,$Q87=Parametres!$G$3),J87,D87)</f>
        <v>-534.12</v>
      </c>
      <c r="P87" s="151">
        <f>+IF(OR($Q87=Parametres!$G$2,$Q87=Parametres!$G$3),K87,E87)</f>
        <v>-534.12</v>
      </c>
      <c r="Q87" s="150" t="str">
        <f t="shared" si="7"/>
        <v>3-Passifs</v>
      </c>
      <c r="R87" s="149" t="str">
        <f t="shared" si="8"/>
        <v>323</v>
      </c>
      <c r="S87" s="150" t="str">
        <f t="shared" si="9"/>
        <v>_</v>
      </c>
      <c r="T87" s="152" t="str">
        <f>+VLOOKUP($L87,Data_Validation!$A:$D,1,0)</f>
        <v>323I</v>
      </c>
      <c r="U87" s="152" t="str">
        <f>+VLOOKUP($L87,Data_Validation!$A:$D,3,0)</f>
        <v>Bilan</v>
      </c>
      <c r="V87" s="152" t="str">
        <f>+VLOOKUP($L87,Data_Validation!$A:$D,4,0)</f>
        <v>DAS à Payer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62" t="s">
        <v>1157</v>
      </c>
      <c r="B88" s="662" t="s">
        <v>1060</v>
      </c>
      <c r="C88" s="663">
        <v>0</v>
      </c>
      <c r="D88" s="663">
        <v>-10873.76</v>
      </c>
      <c r="E88" s="663">
        <v>-10873.76</v>
      </c>
      <c r="F88" s="662" t="s">
        <v>2226</v>
      </c>
      <c r="G88" s="662" t="s">
        <v>2250</v>
      </c>
      <c r="H88" s="657" t="s">
        <v>3000</v>
      </c>
      <c r="I88" s="656"/>
      <c r="J88" s="656"/>
      <c r="K88" s="656"/>
      <c r="L88" s="149" t="str">
        <f t="shared" si="5"/>
        <v>323J</v>
      </c>
      <c r="M88" s="150" t="str">
        <f t="shared" si="6"/>
        <v>ASSURANCE COLLECTIVE A PAYER</v>
      </c>
      <c r="N88" s="151">
        <f>+IF(OR($Q88=Parametres!$G$2,$Q88=Parametres!$G$3),I88,C88)</f>
        <v>0</v>
      </c>
      <c r="O88" s="151">
        <f>+IF(OR($Q88=Parametres!$G$2,$Q88=Parametres!$G$3),J88,D88)</f>
        <v>-10873.76</v>
      </c>
      <c r="P88" s="151">
        <f>+IF(OR($Q88=Parametres!$G$2,$Q88=Parametres!$G$3),K88,E88)</f>
        <v>-10873.76</v>
      </c>
      <c r="Q88" s="150" t="str">
        <f t="shared" si="7"/>
        <v>3-Passifs</v>
      </c>
      <c r="R88" s="149" t="str">
        <f t="shared" si="8"/>
        <v>323</v>
      </c>
      <c r="S88" s="150" t="str">
        <f t="shared" si="9"/>
        <v>_</v>
      </c>
      <c r="T88" s="152" t="str">
        <f>+VLOOKUP($L88,Data_Validation!$A:$D,1,0)</f>
        <v>323J</v>
      </c>
      <c r="U88" s="152" t="str">
        <f>+VLOOKUP($L88,Data_Validation!$A:$D,3,0)</f>
        <v>Bilan</v>
      </c>
      <c r="V88" s="152" t="str">
        <f>+VLOOKUP($L88,Data_Validation!$A:$D,4,0)</f>
        <v>DAS à Payer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708" t="s">
        <v>1210</v>
      </c>
      <c r="B89" s="708" t="s">
        <v>1211</v>
      </c>
      <c r="C89" s="710">
        <v>0</v>
      </c>
      <c r="D89" s="710">
        <v>-16873.16</v>
      </c>
      <c r="E89" s="710">
        <v>-16873.16</v>
      </c>
      <c r="F89" s="708" t="s">
        <v>2226</v>
      </c>
      <c r="G89" s="708" t="s">
        <v>2250</v>
      </c>
      <c r="H89" s="664" t="s">
        <v>3000</v>
      </c>
      <c r="I89" s="663"/>
      <c r="J89" s="663"/>
      <c r="K89" s="663"/>
      <c r="L89" s="149" t="str">
        <f t="shared" si="5"/>
        <v>323R</v>
      </c>
      <c r="M89" s="150" t="str">
        <f t="shared" si="6"/>
        <v>REER A PAYER</v>
      </c>
      <c r="N89" s="151">
        <f>+IF(OR($Q89=Parametres!$G$2,$Q89=Parametres!$G$3),I89,C89)</f>
        <v>0</v>
      </c>
      <c r="O89" s="497">
        <f>+IF(OR($Q89=Parametres!$G$2,$Q89=Parametres!$G$3),J89,D89)</f>
        <v>-16873.16</v>
      </c>
      <c r="P89" s="151">
        <f>+IF(OR($Q89=Parametres!$G$2,$Q89=Parametres!$G$3),K89,E89)</f>
        <v>-16873.16</v>
      </c>
      <c r="Q89" s="150" t="str">
        <f t="shared" si="7"/>
        <v>3-Passifs</v>
      </c>
      <c r="R89" s="149" t="str">
        <f t="shared" si="8"/>
        <v>323</v>
      </c>
      <c r="S89" s="150" t="str">
        <f t="shared" si="9"/>
        <v>_</v>
      </c>
      <c r="T89" s="152" t="str">
        <f>+VLOOKUP($L89,Data_Validation!$A:$D,1,0)</f>
        <v>323R</v>
      </c>
      <c r="U89" s="152" t="str">
        <f>+VLOOKUP($L89,Data_Validation!$A:$D,3,0)</f>
        <v>Bilan</v>
      </c>
      <c r="V89" s="152" t="str">
        <f>+VLOOKUP($L89,Data_Validation!$A:$D,4,0)</f>
        <v>DAS à Payer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708" t="s">
        <v>1845</v>
      </c>
      <c r="B90" s="708" t="s">
        <v>403</v>
      </c>
      <c r="C90" s="710">
        <v>0</v>
      </c>
      <c r="D90" s="710">
        <v>-111468.02</v>
      </c>
      <c r="E90" s="710">
        <v>-111468.02</v>
      </c>
      <c r="F90" s="708" t="s">
        <v>2226</v>
      </c>
      <c r="G90" s="708" t="s">
        <v>403</v>
      </c>
      <c r="H90" s="657" t="s">
        <v>3000</v>
      </c>
      <c r="I90" s="656"/>
      <c r="J90" s="656"/>
      <c r="K90" s="656"/>
      <c r="L90" s="149" t="str">
        <f t="shared" si="5"/>
        <v>324</v>
      </c>
      <c r="M90" s="150" t="str">
        <f t="shared" si="6"/>
        <v>TPS A PAYER</v>
      </c>
      <c r="N90" s="151">
        <f>+IF(OR($Q90=Parametres!$G$2,$Q90=Parametres!$G$3),I90,C90)</f>
        <v>0</v>
      </c>
      <c r="O90" s="151">
        <f>+IF(OR($Q90=Parametres!$G$2,$Q90=Parametres!$G$3),J90,D90)</f>
        <v>-111468.02</v>
      </c>
      <c r="P90" s="151">
        <f>+IF(OR($Q90=Parametres!$G$2,$Q90=Parametres!$G$3),K90,E90)</f>
        <v>-111468.02</v>
      </c>
      <c r="Q90" s="150" t="str">
        <f t="shared" si="7"/>
        <v>3-Passifs</v>
      </c>
      <c r="R90" s="149" t="str">
        <f t="shared" si="8"/>
        <v>324</v>
      </c>
      <c r="S90" s="150" t="str">
        <f t="shared" si="9"/>
        <v>_</v>
      </c>
      <c r="T90" s="152" t="str">
        <f>+VLOOKUP($L90,Data_Validation!$A:$D,1,0)</f>
        <v>324</v>
      </c>
      <c r="U90" s="152" t="str">
        <f>+VLOOKUP($L90,Data_Validation!$A:$D,3,0)</f>
        <v>Bilan</v>
      </c>
      <c r="V90" s="152" t="str">
        <f>+VLOOKUP($L90,Data_Validation!$A:$D,4,0)</f>
        <v>Taxes de Vente à Payer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708" t="s">
        <v>1128</v>
      </c>
      <c r="B91" s="708" t="s">
        <v>966</v>
      </c>
      <c r="C91" s="709">
        <v>0</v>
      </c>
      <c r="D91" s="1274">
        <v>125939.88</v>
      </c>
      <c r="E91" s="1274">
        <v>125939.88</v>
      </c>
      <c r="F91" s="708" t="s">
        <v>2226</v>
      </c>
      <c r="G91" s="708" t="s">
        <v>403</v>
      </c>
      <c r="H91" s="709" t="s">
        <v>3000</v>
      </c>
      <c r="I91" s="710"/>
      <c r="J91" s="710"/>
      <c r="K91" s="710"/>
      <c r="L91" s="149" t="str">
        <f t="shared" si="5"/>
        <v>324A</v>
      </c>
      <c r="M91" s="150" t="str">
        <f t="shared" si="6"/>
        <v>TPS A RECEVOIR</v>
      </c>
      <c r="N91" s="151">
        <f>+IF(OR($Q91=Parametres!$G$2,$Q91=Parametres!$G$3),I91,C91)</f>
        <v>0</v>
      </c>
      <c r="O91" s="498">
        <f>+IF(OR($Q91=Parametres!$G$2,$Q91=Parametres!$G$3),J91,D91)</f>
        <v>125939.88</v>
      </c>
      <c r="P91" s="151">
        <f>+IF(OR($Q91=Parametres!$G$2,$Q91=Parametres!$G$3),K91,E91)</f>
        <v>125939.88</v>
      </c>
      <c r="Q91" s="150" t="str">
        <f t="shared" si="7"/>
        <v>3-Passifs</v>
      </c>
      <c r="R91" s="149" t="str">
        <f t="shared" si="8"/>
        <v>324</v>
      </c>
      <c r="S91" s="150" t="str">
        <f t="shared" si="9"/>
        <v>_</v>
      </c>
      <c r="T91" s="152" t="str">
        <f>+VLOOKUP($L91,Data_Validation!$A:$D,1,0)</f>
        <v>324A</v>
      </c>
      <c r="U91" s="152" t="str">
        <f>+VLOOKUP($L91,Data_Validation!$A:$D,3,0)</f>
        <v>Bilan</v>
      </c>
      <c r="V91" s="152" t="str">
        <f>+VLOOKUP($L91,Data_Validation!$A:$D,4,0)</f>
        <v>Taxes de Vente à Payer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customHeight="1">
      <c r="A92" s="708" t="s">
        <v>2414</v>
      </c>
      <c r="B92" s="708" t="s">
        <v>2415</v>
      </c>
      <c r="C92" s="710">
        <v>0</v>
      </c>
      <c r="D92" s="710">
        <v>-38852.019999999997</v>
      </c>
      <c r="E92" s="710">
        <v>-38852.019999999997</v>
      </c>
      <c r="F92" s="708" t="s">
        <v>2226</v>
      </c>
      <c r="G92" s="708" t="s">
        <v>403</v>
      </c>
      <c r="H92" s="709" t="s">
        <v>3000</v>
      </c>
      <c r="I92" s="709"/>
      <c r="J92" s="709"/>
      <c r="K92" s="709"/>
      <c r="L92" s="149" t="str">
        <f t="shared" si="5"/>
        <v>324E</v>
      </c>
      <c r="M92" s="150" t="str">
        <f t="shared" si="6"/>
        <v>TAXE DE LUXE</v>
      </c>
      <c r="N92" s="151">
        <f>+IF(OR($Q92=Parametres!$G$2,$Q92=Parametres!$G$3),I92,C92)</f>
        <v>0</v>
      </c>
      <c r="O92" s="151">
        <f>+IF(OR($Q92=Parametres!$G$2,$Q92=Parametres!$G$3),J92,D92)</f>
        <v>-38852.019999999997</v>
      </c>
      <c r="P92" s="151">
        <f>+IF(OR($Q92=Parametres!$G$2,$Q92=Parametres!$G$3),K92,E92)</f>
        <v>-38852.019999999997</v>
      </c>
      <c r="Q92" s="150" t="str">
        <f t="shared" si="7"/>
        <v>3-Passifs</v>
      </c>
      <c r="R92" s="149" t="str">
        <f t="shared" si="8"/>
        <v>324</v>
      </c>
      <c r="S92" s="150" t="str">
        <f t="shared" si="9"/>
        <v>_</v>
      </c>
      <c r="T92" s="152" t="str">
        <f>+VLOOKUP($L92,Data_Validation!$A:$D,1,0)</f>
        <v>324E</v>
      </c>
      <c r="U92" s="152" t="str">
        <f>+VLOOKUP($L92,Data_Validation!$A:$D,3,0)</f>
        <v>Bilan</v>
      </c>
      <c r="V92" s="152" t="str">
        <f>+VLOOKUP($L92,Data_Validation!$A:$D,4,0)</f>
        <v>Taxes de Vente à Payer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08" t="s">
        <v>351</v>
      </c>
      <c r="B93" s="708" t="s">
        <v>1829</v>
      </c>
      <c r="C93" s="710">
        <v>0</v>
      </c>
      <c r="D93" s="710">
        <v>-38897.79</v>
      </c>
      <c r="E93" s="710">
        <v>-38897.79</v>
      </c>
      <c r="F93" s="708" t="s">
        <v>2226</v>
      </c>
      <c r="G93" s="708" t="s">
        <v>403</v>
      </c>
      <c r="H93" s="657" t="s">
        <v>3000</v>
      </c>
      <c r="I93" s="656"/>
      <c r="J93" s="656"/>
      <c r="K93" s="656"/>
      <c r="L93" s="149" t="str">
        <f t="shared" si="5"/>
        <v>325</v>
      </c>
      <c r="M93" s="150" t="str">
        <f t="shared" si="6"/>
        <v>TVQ A PAYER</v>
      </c>
      <c r="N93" s="151">
        <f>+IF(OR($Q93=Parametres!$G$2,$Q93=Parametres!$G$3),I93,C93)</f>
        <v>0</v>
      </c>
      <c r="O93" s="151">
        <f>+IF(OR($Q93=Parametres!$G$2,$Q93=Parametres!$G$3),J93,D93)</f>
        <v>-38897.79</v>
      </c>
      <c r="P93" s="151">
        <f>+IF(OR($Q93=Parametres!$G$2,$Q93=Parametres!$G$3),K93,E93)</f>
        <v>-38897.79</v>
      </c>
      <c r="Q93" s="150" t="str">
        <f t="shared" si="7"/>
        <v>3-Passifs</v>
      </c>
      <c r="R93" s="149" t="str">
        <f t="shared" si="8"/>
        <v>324</v>
      </c>
      <c r="S93" s="150" t="str">
        <f t="shared" si="9"/>
        <v>_</v>
      </c>
      <c r="T93" s="152" t="str">
        <f>+VLOOKUP($L93,Data_Validation!$A:$D,1,0)</f>
        <v>325</v>
      </c>
      <c r="U93" s="152" t="str">
        <f>+VLOOKUP($L93,Data_Validation!$A:$D,3,0)</f>
        <v>Bilan</v>
      </c>
      <c r="V93" s="152" t="str">
        <f>+VLOOKUP($L93,Data_Validation!$A:$D,4,0)</f>
        <v>Taxes de Vente à Payer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customHeight="1">
      <c r="A94" s="708" t="s">
        <v>1700</v>
      </c>
      <c r="B94" s="708" t="s">
        <v>1701</v>
      </c>
      <c r="C94" s="710">
        <v>0</v>
      </c>
      <c r="D94" s="710">
        <v>29679.63</v>
      </c>
      <c r="E94" s="710">
        <v>29679.63</v>
      </c>
      <c r="F94" s="708" t="s">
        <v>2226</v>
      </c>
      <c r="G94" s="708" t="s">
        <v>403</v>
      </c>
      <c r="H94" s="602" t="s">
        <v>3000</v>
      </c>
      <c r="I94" s="601"/>
      <c r="J94" s="601"/>
      <c r="K94" s="601"/>
      <c r="L94" s="149" t="str">
        <f t="shared" si="5"/>
        <v>325B</v>
      </c>
      <c r="M94" s="150" t="str">
        <f t="shared" si="6"/>
        <v>TVQ A RECEVOIR</v>
      </c>
      <c r="N94" s="151">
        <f>+IF(OR($Q94=Parametres!$G$2,$Q94=Parametres!$G$3),I94,C94)</f>
        <v>0</v>
      </c>
      <c r="O94" s="151">
        <f>+IF(OR($Q94=Parametres!$G$2,$Q94=Parametres!$G$3),J94,D94)</f>
        <v>29679.63</v>
      </c>
      <c r="P94" s="151">
        <f>+IF(OR($Q94=Parametres!$G$2,$Q94=Parametres!$G$3),K94,E94)</f>
        <v>29679.63</v>
      </c>
      <c r="Q94" s="150" t="str">
        <f t="shared" si="7"/>
        <v>3-Passifs</v>
      </c>
      <c r="R94" s="149" t="str">
        <f t="shared" si="8"/>
        <v>324</v>
      </c>
      <c r="S94" s="150" t="str">
        <f t="shared" si="9"/>
        <v>_</v>
      </c>
      <c r="T94" s="152" t="str">
        <f>+VLOOKUP($L94,Data_Validation!$A:$D,1,0)</f>
        <v>325B</v>
      </c>
      <c r="U94" s="152" t="str">
        <f>+VLOOKUP($L94,Data_Validation!$A:$D,3,0)</f>
        <v>Bilan</v>
      </c>
      <c r="V94" s="152" t="str">
        <f>+VLOOKUP($L94,Data_Validation!$A:$D,4,0)</f>
        <v>Taxes de Vente à Payer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customHeight="1">
      <c r="A95" s="708" t="s">
        <v>1633</v>
      </c>
      <c r="B95" s="708" t="s">
        <v>1634</v>
      </c>
      <c r="C95" s="709">
        <v>0</v>
      </c>
      <c r="D95" s="1274">
        <v>-436.5</v>
      </c>
      <c r="E95" s="1274">
        <v>-436.5</v>
      </c>
      <c r="F95" s="708" t="s">
        <v>2226</v>
      </c>
      <c r="G95" s="708" t="s">
        <v>403</v>
      </c>
      <c r="H95" s="709" t="s">
        <v>3000</v>
      </c>
      <c r="I95" s="710"/>
      <c r="J95" s="710"/>
      <c r="K95" s="710"/>
      <c r="L95" s="149" t="str">
        <f t="shared" si="5"/>
        <v>326</v>
      </c>
      <c r="M95" s="150" t="str">
        <f t="shared" si="6"/>
        <v>TAXES DE PNEUS</v>
      </c>
      <c r="N95" s="151">
        <f>+IF(OR($Q95=Parametres!$G$2,$Q95=Parametres!$G$3),I95,C95)</f>
        <v>0</v>
      </c>
      <c r="O95" s="151">
        <f>+IF(OR($Q95=Parametres!$G$2,$Q95=Parametres!$G$3),J95,D95)</f>
        <v>-436.5</v>
      </c>
      <c r="P95" s="151">
        <f>+IF(OR($Q95=Parametres!$G$2,$Q95=Parametres!$G$3),K95,E95)</f>
        <v>-436.5</v>
      </c>
      <c r="Q95" s="150" t="str">
        <f t="shared" si="7"/>
        <v>3-Passifs</v>
      </c>
      <c r="R95" s="149" t="str">
        <f t="shared" si="8"/>
        <v>324</v>
      </c>
      <c r="S95" s="150" t="str">
        <f t="shared" si="9"/>
        <v>_</v>
      </c>
      <c r="T95" s="152" t="str">
        <f>+VLOOKUP($L95,Data_Validation!$A:$D,1,0)</f>
        <v>326</v>
      </c>
      <c r="U95" s="152" t="str">
        <f>+VLOOKUP($L95,Data_Validation!$A:$D,3,0)</f>
        <v>Bilan</v>
      </c>
      <c r="V95" s="152" t="str">
        <f>+VLOOKUP($L95,Data_Validation!$A:$D,4,0)</f>
        <v>Taxes de Vente à Payer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708" t="s">
        <v>2333</v>
      </c>
      <c r="B96" s="708" t="s">
        <v>2334</v>
      </c>
      <c r="C96" s="710">
        <v>0</v>
      </c>
      <c r="D96" s="710">
        <v>-29498.799999999999</v>
      </c>
      <c r="E96" s="710">
        <v>-29498.799999999999</v>
      </c>
      <c r="F96" s="708" t="s">
        <v>2226</v>
      </c>
      <c r="G96" s="708" t="s">
        <v>2334</v>
      </c>
      <c r="H96" s="664" t="s">
        <v>3000</v>
      </c>
      <c r="I96" s="663"/>
      <c r="J96" s="663"/>
      <c r="K96" s="663"/>
      <c r="L96" s="149" t="str">
        <f t="shared" si="5"/>
        <v>328</v>
      </c>
      <c r="M96" s="150" t="str">
        <f t="shared" si="6"/>
        <v>BONUS EMPLOYES A/P</v>
      </c>
      <c r="N96" s="151">
        <f>+IF(OR($Q96=Parametres!$G$2,$Q96=Parametres!$G$3),I96,C96)</f>
        <v>0</v>
      </c>
      <c r="O96" s="151">
        <f>+IF(OR($Q96=Parametres!$G$2,$Q96=Parametres!$G$3),J96,D96)</f>
        <v>-29498.799999999999</v>
      </c>
      <c r="P96" s="151">
        <f>+IF(OR($Q96=Parametres!$G$2,$Q96=Parametres!$G$3),K96,E96)</f>
        <v>-29498.799999999999</v>
      </c>
      <c r="Q96" s="150" t="str">
        <f t="shared" si="7"/>
        <v>3-Passifs</v>
      </c>
      <c r="R96" s="149" t="str">
        <f t="shared" si="8"/>
        <v>328</v>
      </c>
      <c r="S96" s="150" t="str">
        <f t="shared" si="9"/>
        <v>_</v>
      </c>
      <c r="T96" s="152" t="str">
        <f>+VLOOKUP($L96,Data_Validation!$A:$D,1,0)</f>
        <v>328</v>
      </c>
      <c r="U96" s="152" t="str">
        <f>+VLOOKUP($L96,Data_Validation!$A:$D,3,0)</f>
        <v>Bilan</v>
      </c>
      <c r="V96" s="152" t="str">
        <f>+VLOOKUP($L96,Data_Validation!$A:$D,4,0)</f>
        <v>Salaires à Payer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708" t="s">
        <v>1827</v>
      </c>
      <c r="B97" s="708" t="s">
        <v>448</v>
      </c>
      <c r="C97" s="710">
        <v>0</v>
      </c>
      <c r="D97" s="710">
        <v>-41928.03</v>
      </c>
      <c r="E97" s="710">
        <v>-41928.03</v>
      </c>
      <c r="F97" s="708" t="s">
        <v>2226</v>
      </c>
      <c r="G97" s="708" t="s">
        <v>448</v>
      </c>
      <c r="H97" s="600" t="s">
        <v>3000</v>
      </c>
      <c r="I97" s="601"/>
      <c r="J97" s="601"/>
      <c r="K97" s="601"/>
      <c r="L97" s="149" t="str">
        <f t="shared" si="5"/>
        <v>331B</v>
      </c>
      <c r="M97" s="150" t="str">
        <f t="shared" si="6"/>
        <v>RESERVE INVENTAIRE USAGE</v>
      </c>
      <c r="N97" s="151">
        <f>+IF(OR($Q97=Parametres!$G$2,$Q97=Parametres!$G$3),I97,C97)</f>
        <v>0</v>
      </c>
      <c r="O97" s="497">
        <f>+IF(OR($Q97=Parametres!$G$2,$Q97=Parametres!$G$3),J97,D97)</f>
        <v>-41928.03</v>
      </c>
      <c r="P97" s="151">
        <f>+IF(OR($Q97=Parametres!$G$2,$Q97=Parametres!$G$3),K97,E97)</f>
        <v>-41928.03</v>
      </c>
      <c r="Q97" s="150" t="str">
        <f t="shared" si="7"/>
        <v>3-Passifs</v>
      </c>
      <c r="R97" s="149" t="str">
        <f t="shared" si="8"/>
        <v>331B</v>
      </c>
      <c r="S97" s="150" t="str">
        <f t="shared" si="9"/>
        <v>_</v>
      </c>
      <c r="T97" s="152" t="str">
        <f>+VLOOKUP($L97,Data_Validation!$A:$D,1,0)</f>
        <v>331B</v>
      </c>
      <c r="U97" s="152" t="str">
        <f>+VLOOKUP($L97,Data_Validation!$A:$D,3,0)</f>
        <v>Bilan</v>
      </c>
      <c r="V97" s="152" t="str">
        <f>+VLOOKUP($L97,Data_Validation!$A:$D,4,0)</f>
        <v>Inventaire Véhicules Usagés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708" t="s">
        <v>1080</v>
      </c>
      <c r="B98" s="708" t="s">
        <v>1063</v>
      </c>
      <c r="C98" s="710">
        <v>0</v>
      </c>
      <c r="D98" s="710">
        <v>-1200</v>
      </c>
      <c r="E98" s="710">
        <v>-1200</v>
      </c>
      <c r="F98" s="708" t="s">
        <v>2226</v>
      </c>
      <c r="G98" s="708" t="s">
        <v>1063</v>
      </c>
      <c r="H98" s="664" t="s">
        <v>3000</v>
      </c>
      <c r="I98" s="663"/>
      <c r="J98" s="663"/>
      <c r="K98" s="663"/>
      <c r="L98" s="149" t="str">
        <f t="shared" si="5"/>
        <v>331C</v>
      </c>
      <c r="M98" s="150" t="str">
        <f t="shared" si="6"/>
        <v>RESERVE INVENTAIRE NEUF</v>
      </c>
      <c r="N98" s="151">
        <f>+IF(OR($Q98=Parametres!$G$2,$Q98=Parametres!$G$3),I98,C98)</f>
        <v>0</v>
      </c>
      <c r="O98" s="151">
        <f>+IF(OR($Q98=Parametres!$G$2,$Q98=Parametres!$G$3),J98,D98)</f>
        <v>-1200</v>
      </c>
      <c r="P98" s="151">
        <f>+IF(OR($Q98=Parametres!$G$2,$Q98=Parametres!$G$3),K98,E98)</f>
        <v>-1200</v>
      </c>
      <c r="Q98" s="150" t="str">
        <f t="shared" si="7"/>
        <v>3-Passifs</v>
      </c>
      <c r="R98" s="149" t="str">
        <f t="shared" si="8"/>
        <v>331C</v>
      </c>
      <c r="S98" s="150" t="str">
        <f t="shared" si="9"/>
        <v>_</v>
      </c>
      <c r="T98" s="152" t="str">
        <f>+VLOOKUP($L98,Data_Validation!$A:$D,1,0)</f>
        <v>331C</v>
      </c>
      <c r="U98" s="152" t="str">
        <f>+VLOOKUP($L98,Data_Validation!$A:$D,3,0)</f>
        <v>Bilan</v>
      </c>
      <c r="V98" s="152" t="str">
        <f>+VLOOKUP($L98,Data_Validation!$A:$D,4,0)</f>
        <v>Inventaire Véhicules Neufs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708" t="s">
        <v>1920</v>
      </c>
      <c r="B99" s="708" t="s">
        <v>1921</v>
      </c>
      <c r="C99" s="710">
        <v>0</v>
      </c>
      <c r="D99" s="710">
        <v>-5396.5</v>
      </c>
      <c r="E99" s="710">
        <v>-5396.5</v>
      </c>
      <c r="F99" s="708" t="s">
        <v>2226</v>
      </c>
      <c r="G99" s="708" t="s">
        <v>1063</v>
      </c>
      <c r="H99" s="657" t="s">
        <v>3000</v>
      </c>
      <c r="I99" s="656"/>
      <c r="J99" s="656"/>
      <c r="K99" s="656"/>
      <c r="L99" s="149" t="str">
        <f t="shared" si="5"/>
        <v>331D</v>
      </c>
      <c r="M99" s="150" t="str">
        <f t="shared" si="6"/>
        <v>RESERVE DEMONSTRATEURS</v>
      </c>
      <c r="N99" s="151">
        <f>+IF(OR($Q99=Parametres!$G$2,$Q99=Parametres!$G$3),I99,C99)</f>
        <v>0</v>
      </c>
      <c r="O99" s="151">
        <f>+IF(OR($Q99=Parametres!$G$2,$Q99=Parametres!$G$3),J99,D99)</f>
        <v>-5396.5</v>
      </c>
      <c r="P99" s="151">
        <f>+IF(OR($Q99=Parametres!$G$2,$Q99=Parametres!$G$3),K99,E99)</f>
        <v>-5396.5</v>
      </c>
      <c r="Q99" s="150" t="str">
        <f t="shared" si="7"/>
        <v>3-Passifs</v>
      </c>
      <c r="R99" s="149" t="str">
        <f t="shared" si="8"/>
        <v>331C</v>
      </c>
      <c r="S99" s="150" t="str">
        <f t="shared" si="9"/>
        <v>_</v>
      </c>
      <c r="T99" s="152" t="str">
        <f>+VLOOKUP($L99,Data_Validation!$A:$D,1,0)</f>
        <v>331D</v>
      </c>
      <c r="U99" s="152" t="str">
        <f>+VLOOKUP($L99,Data_Validation!$A:$D,3,0)</f>
        <v>Bilan</v>
      </c>
      <c r="V99" s="152" t="str">
        <f>+VLOOKUP($L99,Data_Validation!$A:$D,4,0)</f>
        <v>Inventaire Véhicules Neufs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708" t="s">
        <v>1922</v>
      </c>
      <c r="B100" s="708" t="s">
        <v>1923</v>
      </c>
      <c r="C100" s="710">
        <v>0</v>
      </c>
      <c r="D100" s="710">
        <v>-48104.03</v>
      </c>
      <c r="E100" s="710">
        <v>-48104.03</v>
      </c>
      <c r="F100" s="708" t="s">
        <v>2226</v>
      </c>
      <c r="G100" s="708" t="s">
        <v>1063</v>
      </c>
      <c r="H100" s="600" t="s">
        <v>3000</v>
      </c>
      <c r="I100" s="153"/>
      <c r="J100" s="153"/>
      <c r="K100" s="153"/>
      <c r="L100" s="149" t="str">
        <f t="shared" si="5"/>
        <v>331E</v>
      </c>
      <c r="M100" s="150" t="str">
        <f t="shared" si="6"/>
        <v>RESERVE COURTOISIES</v>
      </c>
      <c r="N100" s="151">
        <f>+IF(OR($Q100=Parametres!$G$2,$Q100=Parametres!$G$3),I100,C100)</f>
        <v>0</v>
      </c>
      <c r="O100" s="497">
        <f>+IF(OR($Q100=Parametres!$G$2,$Q100=Parametres!$G$3),J100,D100)</f>
        <v>-48104.03</v>
      </c>
      <c r="P100" s="151">
        <f>+IF(OR($Q100=Parametres!$G$2,$Q100=Parametres!$G$3),K100,E100)</f>
        <v>-48104.03</v>
      </c>
      <c r="Q100" s="150" t="str">
        <f t="shared" si="7"/>
        <v>3-Passifs</v>
      </c>
      <c r="R100" s="149" t="str">
        <f t="shared" si="8"/>
        <v>331C</v>
      </c>
      <c r="S100" s="150" t="str">
        <f t="shared" si="9"/>
        <v>_</v>
      </c>
      <c r="T100" s="152" t="str">
        <f>+VLOOKUP($L100,Data_Validation!$A:$D,1,0)</f>
        <v>331E</v>
      </c>
      <c r="U100" s="152" t="str">
        <f>+VLOOKUP($L100,Data_Validation!$A:$D,3,0)</f>
        <v>Bilan</v>
      </c>
      <c r="V100" s="152" t="str">
        <f>+VLOOKUP($L100,Data_Validation!$A:$D,4,0)</f>
        <v>Inventaire Véhicules Neufs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708" t="s">
        <v>1111</v>
      </c>
      <c r="B101" s="708" t="s">
        <v>1112</v>
      </c>
      <c r="C101" s="710">
        <v>0</v>
      </c>
      <c r="D101" s="710">
        <v>-3160</v>
      </c>
      <c r="E101" s="710">
        <v>-3160</v>
      </c>
      <c r="F101" s="708" t="s">
        <v>2226</v>
      </c>
      <c r="G101" s="708" t="s">
        <v>1112</v>
      </c>
      <c r="H101" s="664" t="s">
        <v>3000</v>
      </c>
      <c r="I101" s="664"/>
      <c r="J101" s="664"/>
      <c r="K101" s="664"/>
      <c r="L101" s="149" t="str">
        <f t="shared" si="5"/>
        <v>331V</v>
      </c>
      <c r="M101" s="150" t="str">
        <f t="shared" si="6"/>
        <v>PROVISION SERVICE VALET</v>
      </c>
      <c r="N101" s="151">
        <f>+IF(OR($Q101=Parametres!$G$2,$Q101=Parametres!$G$3),I101,C101)</f>
        <v>0</v>
      </c>
      <c r="O101" s="151">
        <f>+IF(OR($Q101=Parametres!$G$2,$Q101=Parametres!$G$3),J101,D101)</f>
        <v>-3160</v>
      </c>
      <c r="P101" s="151">
        <f>+IF(OR($Q101=Parametres!$G$2,$Q101=Parametres!$G$3),K101,E101)</f>
        <v>-3160</v>
      </c>
      <c r="Q101" s="150" t="str">
        <f t="shared" si="7"/>
        <v>3-Passifs</v>
      </c>
      <c r="R101" s="149" t="str">
        <f t="shared" si="8"/>
        <v>331V</v>
      </c>
      <c r="S101" s="150" t="str">
        <f t="shared" si="9"/>
        <v>_</v>
      </c>
      <c r="T101" s="152" t="str">
        <f>+VLOOKUP($L101,Data_Validation!$A:$D,1,0)</f>
        <v>331V</v>
      </c>
      <c r="U101" s="152" t="str">
        <f>+VLOOKUP($L101,Data_Validation!$A:$D,3,0)</f>
        <v>Bilan</v>
      </c>
      <c r="V101" s="152" t="str">
        <f>+VLOOKUP($L101,Data_Validation!$A:$D,4,0)</f>
        <v>autres courus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708" t="s">
        <v>2305</v>
      </c>
      <c r="B102" s="708" t="s">
        <v>2306</v>
      </c>
      <c r="C102" s="709">
        <v>0</v>
      </c>
      <c r="D102" s="1274">
        <v>-135312</v>
      </c>
      <c r="E102" s="1274">
        <v>-135312</v>
      </c>
      <c r="F102" s="708" t="s">
        <v>2226</v>
      </c>
      <c r="G102" s="708" t="s">
        <v>2306</v>
      </c>
      <c r="H102" s="709" t="s">
        <v>3000</v>
      </c>
      <c r="I102" s="710"/>
      <c r="J102" s="710"/>
      <c r="K102" s="710"/>
      <c r="L102" s="149" t="str">
        <f t="shared" si="5"/>
        <v>332</v>
      </c>
      <c r="M102" s="150" t="str">
        <f t="shared" si="6"/>
        <v>REVENU HOLDBACK DIFFERE</v>
      </c>
      <c r="N102" s="151">
        <f>+IF(OR($Q102=Parametres!$G$2,$Q102=Parametres!$G$3),I102,C102)</f>
        <v>0</v>
      </c>
      <c r="O102" s="151">
        <f>+IF(OR($Q102=Parametres!$G$2,$Q102=Parametres!$G$3),J102,D102)</f>
        <v>-135312</v>
      </c>
      <c r="P102" s="151">
        <f>+IF(OR($Q102=Parametres!$G$2,$Q102=Parametres!$G$3),K102,E102)</f>
        <v>-135312</v>
      </c>
      <c r="Q102" s="150" t="str">
        <f t="shared" si="7"/>
        <v>3-Passifs</v>
      </c>
      <c r="R102" s="149" t="str">
        <f t="shared" si="8"/>
        <v>332</v>
      </c>
      <c r="S102" s="150" t="str">
        <f t="shared" si="9"/>
        <v>_</v>
      </c>
      <c r="T102" s="152" t="str">
        <f>+VLOOKUP($L102,Data_Validation!$A:$D,1,0)</f>
        <v>332</v>
      </c>
      <c r="U102" s="152" t="str">
        <f>+VLOOKUP($L102,Data_Validation!$A:$D,3,0)</f>
        <v>Bilan</v>
      </c>
      <c r="V102" s="152" t="str">
        <f>+VLOOKUP($L102,Data_Validation!$A:$D,4,0)</f>
        <v>Autres Courus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708" t="s">
        <v>3012</v>
      </c>
      <c r="B103" s="708" t="s">
        <v>3013</v>
      </c>
      <c r="C103" s="710">
        <v>0</v>
      </c>
      <c r="D103" s="710">
        <v>-5700000</v>
      </c>
      <c r="E103" s="710">
        <v>-5700000</v>
      </c>
      <c r="F103" s="708" t="s">
        <v>2226</v>
      </c>
      <c r="G103" s="708" t="s">
        <v>3013</v>
      </c>
      <c r="H103" s="657" t="s">
        <v>3000</v>
      </c>
      <c r="I103" s="656"/>
      <c r="J103" s="656"/>
      <c r="K103" s="656"/>
      <c r="L103" s="149" t="str">
        <f t="shared" si="5"/>
        <v>335</v>
      </c>
      <c r="M103" s="150" t="str">
        <f t="shared" si="6"/>
        <v>PRET BANQUE TD</v>
      </c>
      <c r="N103" s="151">
        <f>+IF(OR($Q103=Parametres!$G$2,$Q103=Parametres!$G$3),I103,C103)</f>
        <v>0</v>
      </c>
      <c r="O103" s="151">
        <f>+IF(OR($Q103=Parametres!$G$2,$Q103=Parametres!$G$3),J103,D103)</f>
        <v>-5700000</v>
      </c>
      <c r="P103" s="151">
        <f>+IF(OR($Q103=Parametres!$G$2,$Q103=Parametres!$G$3),K103,E103)</f>
        <v>-5700000</v>
      </c>
      <c r="Q103" s="150" t="str">
        <f t="shared" si="7"/>
        <v>3-Passifs</v>
      </c>
      <c r="R103" s="149" t="str">
        <f t="shared" si="8"/>
        <v>335</v>
      </c>
      <c r="S103" s="150" t="str">
        <f t="shared" si="9"/>
        <v>_</v>
      </c>
      <c r="T103" s="152" t="str">
        <f>+VLOOKUP($L103,Data_Validation!$A:$D,1,0)</f>
        <v>335</v>
      </c>
      <c r="U103" s="152" t="str">
        <f>+VLOOKUP($L103,Data_Validation!$A:$D,3,0)</f>
        <v>Bilan</v>
      </c>
      <c r="V103" s="152" t="str">
        <f>+VLOOKUP($L103,Data_Validation!$A:$D,4,0)</f>
        <v>Dette à Long Terme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708" t="s">
        <v>3014</v>
      </c>
      <c r="B104" s="708" t="s">
        <v>1369</v>
      </c>
      <c r="C104" s="710">
        <v>0</v>
      </c>
      <c r="D104" s="710">
        <v>-5807487.8399999999</v>
      </c>
      <c r="E104" s="710">
        <v>-5807487.8399999999</v>
      </c>
      <c r="F104" s="708" t="s">
        <v>2226</v>
      </c>
      <c r="G104" s="708" t="s">
        <v>2247</v>
      </c>
      <c r="H104" s="664" t="s">
        <v>3000</v>
      </c>
      <c r="I104" s="663"/>
      <c r="J104" s="663"/>
      <c r="K104" s="663"/>
      <c r="L104" s="149" t="str">
        <f t="shared" si="5"/>
        <v>337B</v>
      </c>
      <c r="M104" s="150" t="str">
        <f t="shared" si="6"/>
        <v>A PAYER GROUPE PARK AVENUE</v>
      </c>
      <c r="N104" s="151">
        <f>+IF(OR($Q104=Parametres!$G$2,$Q104=Parametres!$G$3),I104,C104)</f>
        <v>0</v>
      </c>
      <c r="O104" s="151">
        <f>+IF(OR($Q104=Parametres!$G$2,$Q104=Parametres!$G$3),J104,D104)</f>
        <v>-5807487.8399999999</v>
      </c>
      <c r="P104" s="151">
        <f>+IF(OR($Q104=Parametres!$G$2,$Q104=Parametres!$G$3),K104,E104)</f>
        <v>-5807487.8399999999</v>
      </c>
      <c r="Q104" s="150" t="str">
        <f t="shared" si="7"/>
        <v>3-Passifs</v>
      </c>
      <c r="R104" s="149" t="str">
        <f t="shared" si="8"/>
        <v>337</v>
      </c>
      <c r="S104" s="150" t="str">
        <f t="shared" si="9"/>
        <v>_</v>
      </c>
      <c r="T104" s="152" t="str">
        <f>+VLOOKUP($L104,Data_Validation!$A:$D,1,0)</f>
        <v>337B</v>
      </c>
      <c r="U104" s="152" t="str">
        <f>+VLOOKUP($L104,Data_Validation!$A:$D,3,0)</f>
        <v>Bilan</v>
      </c>
      <c r="V104" s="152" t="str">
        <f>+VLOOKUP($L104,Data_Validation!$A:$D,4,0)</f>
        <v>Avances Long Terme à Payer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708" t="s">
        <v>1711</v>
      </c>
      <c r="B105" s="708" t="s">
        <v>378</v>
      </c>
      <c r="C105" s="710">
        <v>0</v>
      </c>
      <c r="D105" s="710">
        <v>-1632.11</v>
      </c>
      <c r="E105" s="710">
        <v>-1632.11</v>
      </c>
      <c r="F105" s="708" t="s">
        <v>2226</v>
      </c>
      <c r="G105" s="708" t="s">
        <v>378</v>
      </c>
      <c r="H105" s="664" t="s">
        <v>3000</v>
      </c>
      <c r="I105" s="664"/>
      <c r="J105" s="664"/>
      <c r="K105" s="664"/>
      <c r="L105" s="149" t="str">
        <f t="shared" si="5"/>
        <v>352</v>
      </c>
      <c r="M105" s="150" t="str">
        <f t="shared" si="6"/>
        <v>AMORT.CUM. EQUIP. &amp; OUTILLAGES</v>
      </c>
      <c r="N105" s="151">
        <f>+IF(OR($Q105=Parametres!$G$2,$Q105=Parametres!$G$3),I105,C105)</f>
        <v>0</v>
      </c>
      <c r="O105" s="151">
        <f>+IF(OR($Q105=Parametres!$G$2,$Q105=Parametres!$G$3),J105,D105)</f>
        <v>-1632.11</v>
      </c>
      <c r="P105" s="151">
        <f>+IF(OR($Q105=Parametres!$G$2,$Q105=Parametres!$G$3),K105,E105)</f>
        <v>-1632.11</v>
      </c>
      <c r="Q105" s="150" t="str">
        <f t="shared" si="7"/>
        <v>3-Passifs</v>
      </c>
      <c r="R105" s="149" t="str">
        <f t="shared" si="8"/>
        <v>352</v>
      </c>
      <c r="S105" s="150" t="str">
        <f t="shared" si="9"/>
        <v>_</v>
      </c>
      <c r="T105" s="152" t="str">
        <f>+VLOOKUP($L105,Data_Validation!$A:$D,1,0)</f>
        <v>352</v>
      </c>
      <c r="U105" s="152" t="str">
        <f>+VLOOKUP($L105,Data_Validation!$A:$D,3,0)</f>
        <v>Bilan</v>
      </c>
      <c r="V105" s="152" t="str">
        <f>+VLOOKUP($L105,Data_Validation!$A:$D,4,0)</f>
        <v>Équipements Service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708" t="s">
        <v>1663</v>
      </c>
      <c r="B106" s="708" t="s">
        <v>379</v>
      </c>
      <c r="C106" s="710">
        <v>0</v>
      </c>
      <c r="D106" s="710">
        <v>-10.7</v>
      </c>
      <c r="E106" s="710">
        <v>-10.7</v>
      </c>
      <c r="F106" s="708" t="s">
        <v>2226</v>
      </c>
      <c r="G106" s="708" t="s">
        <v>379</v>
      </c>
      <c r="H106" s="664" t="s">
        <v>3000</v>
      </c>
      <c r="I106" s="663"/>
      <c r="J106" s="663"/>
      <c r="K106" s="663"/>
      <c r="L106" s="149" t="str">
        <f t="shared" si="5"/>
        <v>353</v>
      </c>
      <c r="M106" s="150" t="str">
        <f t="shared" si="6"/>
        <v>AMORT.CUM. EQUIP. PIECES &amp; ACCESS.</v>
      </c>
      <c r="N106" s="151">
        <f>+IF(OR($Q106=Parametres!$G$2,$Q106=Parametres!$G$3),I106,C106)</f>
        <v>0</v>
      </c>
      <c r="O106" s="151">
        <f>+IF(OR($Q106=Parametres!$G$2,$Q106=Parametres!$G$3),J106,D106)</f>
        <v>-10.7</v>
      </c>
      <c r="P106" s="151">
        <f>+IF(OR($Q106=Parametres!$G$2,$Q106=Parametres!$G$3),K106,E106)</f>
        <v>-10.7</v>
      </c>
      <c r="Q106" s="150" t="str">
        <f t="shared" si="7"/>
        <v>3-Passifs</v>
      </c>
      <c r="R106" s="149" t="str">
        <f t="shared" si="8"/>
        <v>353</v>
      </c>
      <c r="S106" s="150" t="str">
        <f t="shared" si="9"/>
        <v>_</v>
      </c>
      <c r="T106" s="152" t="str">
        <f>+VLOOKUP($L106,Data_Validation!$A:$D,1,0)</f>
        <v>353</v>
      </c>
      <c r="U106" s="152" t="str">
        <f>+VLOOKUP($L106,Data_Validation!$A:$D,3,0)</f>
        <v>Bilan</v>
      </c>
      <c r="V106" s="152" t="str">
        <f>+VLOOKUP($L106,Data_Validation!$A:$D,4,0)</f>
        <v>Équipements Service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08" t="s">
        <v>1688</v>
      </c>
      <c r="B107" s="708" t="s">
        <v>1689</v>
      </c>
      <c r="C107" s="710">
        <v>0</v>
      </c>
      <c r="D107" s="710">
        <v>-1638.4</v>
      </c>
      <c r="E107" s="710">
        <v>-1638.4</v>
      </c>
      <c r="F107" s="708" t="s">
        <v>2226</v>
      </c>
      <c r="G107" s="708" t="s">
        <v>1689</v>
      </c>
      <c r="H107" s="664" t="s">
        <v>3000</v>
      </c>
      <c r="I107" s="663"/>
      <c r="J107" s="663"/>
      <c r="K107" s="663"/>
      <c r="L107" s="149" t="str">
        <f t="shared" si="5"/>
        <v>354A</v>
      </c>
      <c r="M107" s="150" t="str">
        <f t="shared" si="6"/>
        <v>AMORT.CUM. MEUBLES &amp; ACCESSOIRES</v>
      </c>
      <c r="N107" s="151">
        <f>+IF(OR($Q107=Parametres!$G$2,$Q107=Parametres!$G$3),I107,C107)</f>
        <v>0</v>
      </c>
      <c r="O107" s="151">
        <f>+IF(OR($Q107=Parametres!$G$2,$Q107=Parametres!$G$3),J107,D107)</f>
        <v>-1638.4</v>
      </c>
      <c r="P107" s="151">
        <f>+IF(OR($Q107=Parametres!$G$2,$Q107=Parametres!$G$3),K107,E107)</f>
        <v>-1638.4</v>
      </c>
      <c r="Q107" s="150" t="str">
        <f t="shared" si="7"/>
        <v>3-Passifs</v>
      </c>
      <c r="R107" s="149" t="str">
        <f t="shared" si="8"/>
        <v>354A</v>
      </c>
      <c r="S107" s="150" t="str">
        <f t="shared" si="9"/>
        <v>_</v>
      </c>
      <c r="T107" s="152" t="str">
        <f>+VLOOKUP($L107,Data_Validation!$A:$D,1,0)</f>
        <v>354A</v>
      </c>
      <c r="U107" s="152" t="str">
        <f>+VLOOKUP($L107,Data_Validation!$A:$D,3,0)</f>
        <v>Bilan</v>
      </c>
      <c r="V107" s="152" t="str">
        <f>+VLOOKUP($L107,Data_Validation!$A:$D,4,0)</f>
        <v>Mobilier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708" t="s">
        <v>1206</v>
      </c>
      <c r="B108" s="708" t="s">
        <v>1207</v>
      </c>
      <c r="C108" s="710">
        <v>0</v>
      </c>
      <c r="D108" s="710">
        <v>-82.56</v>
      </c>
      <c r="E108" s="710">
        <v>-82.56</v>
      </c>
      <c r="F108" s="708" t="s">
        <v>2226</v>
      </c>
      <c r="G108" s="708" t="s">
        <v>1207</v>
      </c>
      <c r="H108" s="664" t="s">
        <v>3000</v>
      </c>
      <c r="I108" s="664"/>
      <c r="J108" s="664"/>
      <c r="K108" s="664"/>
      <c r="L108" s="149" t="str">
        <f t="shared" si="5"/>
        <v>354B</v>
      </c>
      <c r="M108" s="150" t="str">
        <f t="shared" si="6"/>
        <v>AMORT.CUM. ENSEIGNE</v>
      </c>
      <c r="N108" s="151">
        <f>+IF(OR($Q108=Parametres!$G$2,$Q108=Parametres!$G$3),I108,C108)</f>
        <v>0</v>
      </c>
      <c r="O108" s="151">
        <f>+IF(OR($Q108=Parametres!$G$2,$Q108=Parametres!$G$3),J108,D108)</f>
        <v>-82.56</v>
      </c>
      <c r="P108" s="151">
        <f>+IF(OR($Q108=Parametres!$G$2,$Q108=Parametres!$G$3),K108,E108)</f>
        <v>-82.56</v>
      </c>
      <c r="Q108" s="150" t="str">
        <f t="shared" si="7"/>
        <v>3-Passifs</v>
      </c>
      <c r="R108" s="149" t="str">
        <f t="shared" si="8"/>
        <v>354B</v>
      </c>
      <c r="S108" s="150" t="str">
        <f t="shared" si="9"/>
        <v>_</v>
      </c>
      <c r="T108" s="152" t="str">
        <f>+VLOOKUP($L108,Data_Validation!$A:$D,1,0)</f>
        <v>354B</v>
      </c>
      <c r="U108" s="152" t="str">
        <f>+VLOOKUP($L108,Data_Validation!$A:$D,3,0)</f>
        <v>Bilan</v>
      </c>
      <c r="V108" s="152" t="str">
        <f>+VLOOKUP($L108,Data_Validation!$A:$D,4,0)</f>
        <v>Enseigne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708" t="s">
        <v>1789</v>
      </c>
      <c r="B109" s="708" t="s">
        <v>1790</v>
      </c>
      <c r="C109" s="710">
        <v>0</v>
      </c>
      <c r="D109" s="710">
        <v>-387.48</v>
      </c>
      <c r="E109" s="710">
        <v>-387.48</v>
      </c>
      <c r="F109" s="708" t="s">
        <v>2226</v>
      </c>
      <c r="G109" s="708" t="s">
        <v>1790</v>
      </c>
      <c r="H109" s="664" t="s">
        <v>3000</v>
      </c>
      <c r="I109" s="663"/>
      <c r="J109" s="663"/>
      <c r="K109" s="663"/>
      <c r="L109" s="149" t="str">
        <f t="shared" si="5"/>
        <v>354C</v>
      </c>
      <c r="M109" s="150" t="str">
        <f t="shared" si="6"/>
        <v>AMORT.CUM. EQUIP. INFORMATIQUE</v>
      </c>
      <c r="N109" s="151">
        <f>+IF(OR($Q109=Parametres!$G$2,$Q109=Parametres!$G$3),I109,C109)</f>
        <v>0</v>
      </c>
      <c r="O109" s="151">
        <f>+IF(OR($Q109=Parametres!$G$2,$Q109=Parametres!$G$3),J109,D109)</f>
        <v>-387.48</v>
      </c>
      <c r="P109" s="151">
        <f>+IF(OR($Q109=Parametres!$G$2,$Q109=Parametres!$G$3),K109,E109)</f>
        <v>-387.48</v>
      </c>
      <c r="Q109" s="150" t="str">
        <f t="shared" si="7"/>
        <v>3-Passifs</v>
      </c>
      <c r="R109" s="149" t="str">
        <f t="shared" si="8"/>
        <v>354C</v>
      </c>
      <c r="S109" s="150" t="str">
        <f t="shared" si="9"/>
        <v>_</v>
      </c>
      <c r="T109" s="152" t="str">
        <f>+VLOOKUP($L109,Data_Validation!$A:$D,1,0)</f>
        <v>354C</v>
      </c>
      <c r="U109" s="152" t="str">
        <f>+VLOOKUP($L109,Data_Validation!$A:$D,3,0)</f>
        <v>Bilan</v>
      </c>
      <c r="V109" s="152" t="str">
        <f>+VLOOKUP($L109,Data_Validation!$A:$D,4,0)</f>
        <v>Équipements Informatique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08" t="s">
        <v>1978</v>
      </c>
      <c r="B110" s="708" t="s">
        <v>1979</v>
      </c>
      <c r="C110" s="710">
        <v>0</v>
      </c>
      <c r="D110" s="710">
        <v>-87484.3</v>
      </c>
      <c r="E110" s="710">
        <v>-87484.3</v>
      </c>
      <c r="F110" s="708" t="s">
        <v>2006</v>
      </c>
      <c r="G110" s="708" t="s">
        <v>1979</v>
      </c>
      <c r="H110" s="664" t="s">
        <v>3000</v>
      </c>
      <c r="I110" s="663"/>
      <c r="J110" s="663"/>
      <c r="K110" s="663"/>
      <c r="L110" s="149" t="str">
        <f t="shared" si="5"/>
        <v>412C</v>
      </c>
      <c r="M110" s="150" t="str">
        <f t="shared" si="6"/>
        <v>M340I XDRIVE</v>
      </c>
      <c r="N110" s="151">
        <f>+IF(OR($Q110=Parametres!$G$2,$Q110=Parametres!$G$3),I110,C110)</f>
        <v>0</v>
      </c>
      <c r="O110" s="151">
        <f>+IF(OR($Q110=Parametres!$G$2,$Q110=Parametres!$G$3),J110,D110)</f>
        <v>-87484.3</v>
      </c>
      <c r="P110" s="151">
        <f>+IF(OR($Q110=Parametres!$G$2,$Q110=Parametres!$G$3),K110,E110)</f>
        <v>-87484.3</v>
      </c>
      <c r="Q110" s="150" t="str">
        <f t="shared" si="7"/>
        <v>5-Ventes</v>
      </c>
      <c r="R110" s="149" t="str">
        <f t="shared" si="8"/>
        <v>412C</v>
      </c>
      <c r="S110" s="150" t="str">
        <f t="shared" si="9"/>
        <v>_</v>
      </c>
      <c r="T110" s="152" t="str">
        <f>+VLOOKUP($L110,Data_Validation!$A:$D,1,0)</f>
        <v>412C</v>
      </c>
      <c r="U110" s="152" t="str">
        <f>+VLOOKUP($L110,Data_Validation!$A:$D,3,0)</f>
        <v>Véhicules neufs</v>
      </c>
      <c r="V110" s="152" t="str">
        <f>+VLOOKUP($L110,Data_Validation!$A:$D,4,0)</f>
        <v>Autos détail</v>
      </c>
      <c r="W110" s="152" t="str">
        <f>+VLOOKUP($L110,Data_Validation!$A:$E,5,0)</f>
        <v>$</v>
      </c>
      <c r="X110" s="152" t="str">
        <f>+VLOOKUP($L110,Data_Validation!$A:$F,6,0)</f>
        <v>Oui</v>
      </c>
    </row>
    <row r="111" spans="1:24" ht="15" customHeight="1">
      <c r="A111" s="708" t="s">
        <v>1081</v>
      </c>
      <c r="B111" s="708" t="s">
        <v>410</v>
      </c>
      <c r="C111" s="710">
        <v>0</v>
      </c>
      <c r="D111" s="710">
        <v>-61181.5</v>
      </c>
      <c r="E111" s="710">
        <v>-61181.5</v>
      </c>
      <c r="F111" s="708" t="s">
        <v>2006</v>
      </c>
      <c r="G111" s="708" t="s">
        <v>410</v>
      </c>
      <c r="H111" s="602" t="s">
        <v>3000</v>
      </c>
      <c r="I111" s="601"/>
      <c r="J111" s="601"/>
      <c r="K111" s="601"/>
      <c r="L111" s="149" t="str">
        <f t="shared" si="5"/>
        <v>416</v>
      </c>
      <c r="M111" s="150" t="str">
        <f t="shared" si="6"/>
        <v>VTE - X1 XDRIVE 28I</v>
      </c>
      <c r="N111" s="151">
        <f>+IF(OR($Q111=Parametres!$G$2,$Q111=Parametres!$G$3),I111,C111)</f>
        <v>0</v>
      </c>
      <c r="O111" s="151">
        <f>+IF(OR($Q111=Parametres!$G$2,$Q111=Parametres!$G$3),J111,D111)</f>
        <v>-61181.5</v>
      </c>
      <c r="P111" s="151">
        <f>+IF(OR($Q111=Parametres!$G$2,$Q111=Parametres!$G$3),K111,E111)</f>
        <v>-61181.5</v>
      </c>
      <c r="Q111" s="150" t="str">
        <f t="shared" si="7"/>
        <v>5-Ventes</v>
      </c>
      <c r="R111" s="149" t="str">
        <f t="shared" si="8"/>
        <v>416</v>
      </c>
      <c r="S111" s="150" t="str">
        <f t="shared" si="9"/>
        <v>_</v>
      </c>
      <c r="T111" s="152" t="str">
        <f>+VLOOKUP($L111,Data_Validation!$A:$D,1,0)</f>
        <v>416</v>
      </c>
      <c r="U111" s="152" t="str">
        <f>+VLOOKUP($L111,Data_Validation!$A:$D,3,0)</f>
        <v>Véhicules neufs</v>
      </c>
      <c r="V111" s="152" t="str">
        <f>+VLOOKUP($L111,Data_Validation!$A:$D,4,0)</f>
        <v>Camions détail</v>
      </c>
      <c r="W111" s="152" t="str">
        <f>+VLOOKUP($L111,Data_Validation!$A:$E,5,0)</f>
        <v>$</v>
      </c>
      <c r="X111" s="152" t="str">
        <f>+VLOOKUP($L111,Data_Validation!$A:$F,6,0)</f>
        <v>Oui</v>
      </c>
    </row>
    <row r="112" spans="1:24" ht="15" customHeight="1">
      <c r="A112" s="708" t="s">
        <v>1383</v>
      </c>
      <c r="B112" s="708" t="s">
        <v>423</v>
      </c>
      <c r="C112" s="709">
        <v>0</v>
      </c>
      <c r="D112" s="1274">
        <v>-263234.56</v>
      </c>
      <c r="E112" s="1274">
        <v>-263234.56</v>
      </c>
      <c r="F112" s="708" t="s">
        <v>2006</v>
      </c>
      <c r="G112" s="708" t="s">
        <v>423</v>
      </c>
      <c r="H112" s="709" t="s">
        <v>3000</v>
      </c>
      <c r="I112" s="710"/>
      <c r="J112" s="710"/>
      <c r="K112" s="710"/>
      <c r="L112" s="149" t="str">
        <f t="shared" si="5"/>
        <v>419</v>
      </c>
      <c r="M112" s="150" t="str">
        <f t="shared" si="6"/>
        <v>VTE - FLEET VOITURE BMW</v>
      </c>
      <c r="N112" s="151">
        <f>+IF(OR($Q112=Parametres!$G$2,$Q112=Parametres!$G$3),I112,C112)</f>
        <v>0</v>
      </c>
      <c r="O112" s="497">
        <f>+IF(OR($Q112=Parametres!$G$2,$Q112=Parametres!$G$3),J112,D112)</f>
        <v>-263234.56</v>
      </c>
      <c r="P112" s="151">
        <f>+IF(OR($Q112=Parametres!$G$2,$Q112=Parametres!$G$3),K112,E112)</f>
        <v>-263234.56</v>
      </c>
      <c r="Q112" s="150" t="str">
        <f t="shared" si="7"/>
        <v>5-Ventes</v>
      </c>
      <c r="R112" s="149" t="str">
        <f t="shared" si="8"/>
        <v>419</v>
      </c>
      <c r="S112" s="150" t="str">
        <f t="shared" si="9"/>
        <v>_</v>
      </c>
      <c r="T112" s="152" t="str">
        <f>+VLOOKUP($L112,Data_Validation!$A:$D,1,0)</f>
        <v>419</v>
      </c>
      <c r="U112" s="152" t="str">
        <f>+VLOOKUP($L112,Data_Validation!$A:$D,3,0)</f>
        <v>Véhicules neufs</v>
      </c>
      <c r="V112" s="152" t="str">
        <f>+VLOOKUP($L112,Data_Validation!$A:$D,4,0)</f>
        <v>Flottes</v>
      </c>
      <c r="W112" s="152" t="str">
        <f>+VLOOKUP($L112,Data_Validation!$A:$E,5,0)</f>
        <v>$</v>
      </c>
      <c r="X112" s="152" t="str">
        <f>+VLOOKUP($L112,Data_Validation!$A:$F,6,0)</f>
        <v>Oui</v>
      </c>
    </row>
    <row r="113" spans="1:24" ht="15.75" customHeight="1">
      <c r="A113" s="708" t="s">
        <v>1384</v>
      </c>
      <c r="B113" s="708" t="s">
        <v>412</v>
      </c>
      <c r="C113" s="710">
        <v>0</v>
      </c>
      <c r="D113" s="710">
        <v>-71805.39</v>
      </c>
      <c r="E113" s="710">
        <v>-71805.39</v>
      </c>
      <c r="F113" s="708" t="s">
        <v>2006</v>
      </c>
      <c r="G113" s="708" t="s">
        <v>412</v>
      </c>
      <c r="H113" s="709" t="s">
        <v>3000</v>
      </c>
      <c r="I113" s="709"/>
      <c r="J113" s="709"/>
      <c r="K113" s="709"/>
      <c r="L113" s="149" t="str">
        <f t="shared" si="5"/>
        <v>419A</v>
      </c>
      <c r="M113" s="150" t="str">
        <f t="shared" si="6"/>
        <v>VTE - FLEET CAMION BMW</v>
      </c>
      <c r="N113" s="151">
        <f>+IF(OR($Q113=Parametres!$G$2,$Q113=Parametres!$G$3),I113,C113)</f>
        <v>0</v>
      </c>
      <c r="O113" s="151">
        <f>+IF(OR($Q113=Parametres!$G$2,$Q113=Parametres!$G$3),J113,D113)</f>
        <v>-71805.39</v>
      </c>
      <c r="P113" s="151">
        <f>+IF(OR($Q113=Parametres!$G$2,$Q113=Parametres!$G$3),K113,E113)</f>
        <v>-71805.39</v>
      </c>
      <c r="Q113" s="150" t="str">
        <f t="shared" si="7"/>
        <v>5-Ventes</v>
      </c>
      <c r="R113" s="149" t="str">
        <f t="shared" si="8"/>
        <v>419A</v>
      </c>
      <c r="S113" s="150" t="str">
        <f t="shared" si="9"/>
        <v>_</v>
      </c>
      <c r="T113" s="152" t="str">
        <f>+VLOOKUP($L113,Data_Validation!$A:$D,1,0)</f>
        <v>419A</v>
      </c>
      <c r="U113" s="152" t="str">
        <f>+VLOOKUP($L113,Data_Validation!$A:$D,3,0)</f>
        <v>Véhicules neufs</v>
      </c>
      <c r="V113" s="152" t="str">
        <f>+VLOOKUP($L113,Data_Validation!$A:$D,4,0)</f>
        <v>Flottes</v>
      </c>
      <c r="W113" s="152" t="str">
        <f>+VLOOKUP($L113,Data_Validation!$A:$E,5,0)</f>
        <v>$</v>
      </c>
      <c r="X113" s="152" t="str">
        <f>+VLOOKUP($L113,Data_Validation!$A:$F,6,0)</f>
        <v>Oui</v>
      </c>
    </row>
    <row r="114" spans="1:24" ht="15" customHeight="1">
      <c r="A114" s="708" t="s">
        <v>2549</v>
      </c>
      <c r="B114" s="708" t="s">
        <v>2550</v>
      </c>
      <c r="C114" s="709">
        <v>0</v>
      </c>
      <c r="D114" s="1274">
        <v>-258671.85</v>
      </c>
      <c r="E114" s="1274">
        <v>-258671.85</v>
      </c>
      <c r="F114" s="708" t="s">
        <v>2006</v>
      </c>
      <c r="G114" s="708" t="s">
        <v>2550</v>
      </c>
      <c r="H114" s="709" t="s">
        <v>3000</v>
      </c>
      <c r="I114" s="710"/>
      <c r="J114" s="710"/>
      <c r="K114" s="710"/>
      <c r="L114" s="149" t="str">
        <f t="shared" si="5"/>
        <v>422C</v>
      </c>
      <c r="M114" s="150" t="str">
        <f t="shared" si="6"/>
        <v>VTES -VTE - X6 M60i</v>
      </c>
      <c r="N114" s="151">
        <f>+IF(OR($Q114=Parametres!$G$2,$Q114=Parametres!$G$3),I114,C114)</f>
        <v>0</v>
      </c>
      <c r="O114" s="151">
        <f>+IF(OR($Q114=Parametres!$G$2,$Q114=Parametres!$G$3),J114,D114)</f>
        <v>-258671.85</v>
      </c>
      <c r="P114" s="151">
        <f>+IF(OR($Q114=Parametres!$G$2,$Q114=Parametres!$G$3),K114,E114)</f>
        <v>-258671.85</v>
      </c>
      <c r="Q114" s="150" t="str">
        <f t="shared" si="7"/>
        <v>5-Ventes</v>
      </c>
      <c r="R114" s="149" t="str">
        <f t="shared" si="8"/>
        <v>422C</v>
      </c>
      <c r="S114" s="150" t="str">
        <f t="shared" si="9"/>
        <v>_</v>
      </c>
      <c r="T114" s="152" t="str">
        <f>+VLOOKUP($L114,Data_Validation!$A:$D,1,0)</f>
        <v>422C</v>
      </c>
      <c r="U114" s="152" t="str">
        <f>+VLOOKUP($L114,Data_Validation!$A:$D,3,0)</f>
        <v>Véhicules neufs</v>
      </c>
      <c r="V114" s="152" t="str">
        <f>+VLOOKUP($L114,Data_Validation!$A:$D,4,0)</f>
        <v>Camions détail</v>
      </c>
      <c r="W114" s="152" t="str">
        <f>+VLOOKUP($L114,Data_Validation!$A:$E,5,0)</f>
        <v>$</v>
      </c>
      <c r="X114" s="152" t="str">
        <f>+VLOOKUP($L114,Data_Validation!$A:$F,6,0)</f>
        <v>oui</v>
      </c>
    </row>
    <row r="115" spans="1:24" ht="15" customHeight="1">
      <c r="A115" s="708" t="s">
        <v>2485</v>
      </c>
      <c r="B115" s="708" t="s">
        <v>2486</v>
      </c>
      <c r="C115" s="710">
        <v>0</v>
      </c>
      <c r="D115" s="710">
        <v>-115798.5</v>
      </c>
      <c r="E115" s="710">
        <v>-115798.5</v>
      </c>
      <c r="F115" s="708" t="s">
        <v>2006</v>
      </c>
      <c r="G115" s="708" t="s">
        <v>2486</v>
      </c>
      <c r="H115" s="664" t="s">
        <v>3000</v>
      </c>
      <c r="I115" s="664"/>
      <c r="J115" s="664"/>
      <c r="K115" s="664"/>
      <c r="L115" s="149" t="str">
        <f t="shared" si="5"/>
        <v>423F</v>
      </c>
      <c r="M115" s="150" t="str">
        <f t="shared" si="6"/>
        <v>VTES -VTE - X5 xDRIVE50e</v>
      </c>
      <c r="N115" s="151">
        <f>+IF(OR($Q115=Parametres!$G$2,$Q115=Parametres!$G$3),I115,C115)</f>
        <v>0</v>
      </c>
      <c r="O115" s="151">
        <f>+IF(OR($Q115=Parametres!$G$2,$Q115=Parametres!$G$3),J115,D115)</f>
        <v>-115798.5</v>
      </c>
      <c r="P115" s="151">
        <f>+IF(OR($Q115=Parametres!$G$2,$Q115=Parametres!$G$3),K115,E115)</f>
        <v>-115798.5</v>
      </c>
      <c r="Q115" s="150" t="str">
        <f t="shared" si="7"/>
        <v>5-Ventes</v>
      </c>
      <c r="R115" s="149" t="str">
        <f t="shared" si="8"/>
        <v>423F</v>
      </c>
      <c r="S115" s="150" t="str">
        <f t="shared" si="9"/>
        <v>_</v>
      </c>
      <c r="T115" s="152" t="str">
        <f>+VLOOKUP($L115,Data_Validation!$A:$D,1,0)</f>
        <v>423F</v>
      </c>
      <c r="U115" s="152" t="str">
        <f>+VLOOKUP($L115,Data_Validation!$A:$D,3,0)</f>
        <v>Véhicules neufs</v>
      </c>
      <c r="V115" s="152" t="str">
        <f>+VLOOKUP($L115,Data_Validation!$A:$D,4,0)</f>
        <v>Camions détail</v>
      </c>
      <c r="W115" s="152" t="str">
        <f>+VLOOKUP($L115,Data_Validation!$A:$E,5,0)</f>
        <v>$</v>
      </c>
      <c r="X115" s="152" t="str">
        <f>+VLOOKUP($L115,Data_Validation!$A:$F,6,0)</f>
        <v>oui</v>
      </c>
    </row>
    <row r="116" spans="1:24" ht="15" customHeight="1">
      <c r="A116" s="708" t="s">
        <v>1388</v>
      </c>
      <c r="B116" s="708" t="s">
        <v>623</v>
      </c>
      <c r="C116" s="710">
        <v>0</v>
      </c>
      <c r="D116" s="710">
        <v>-164531.5</v>
      </c>
      <c r="E116" s="710">
        <v>-164531.5</v>
      </c>
      <c r="F116" s="708" t="s">
        <v>2006</v>
      </c>
      <c r="G116" s="708" t="s">
        <v>623</v>
      </c>
      <c r="H116" s="657" t="s">
        <v>3000</v>
      </c>
      <c r="I116" s="656"/>
      <c r="J116" s="656"/>
      <c r="K116" s="656"/>
      <c r="L116" s="149" t="str">
        <f t="shared" si="5"/>
        <v>428</v>
      </c>
      <c r="M116" s="150" t="str">
        <f t="shared" si="6"/>
        <v>VTE - X6 M</v>
      </c>
      <c r="N116" s="151">
        <f>+IF(OR($Q116=Parametres!$G$2,$Q116=Parametres!$G$3),I116,C116)</f>
        <v>0</v>
      </c>
      <c r="O116" s="151">
        <f>+IF(OR($Q116=Parametres!$G$2,$Q116=Parametres!$G$3),J116,D116)</f>
        <v>-164531.5</v>
      </c>
      <c r="P116" s="151">
        <f>+IF(OR($Q116=Parametres!$G$2,$Q116=Parametres!$G$3),K116,E116)</f>
        <v>-164531.5</v>
      </c>
      <c r="Q116" s="150" t="str">
        <f t="shared" si="7"/>
        <v>5-Ventes</v>
      </c>
      <c r="R116" s="149" t="str">
        <f t="shared" si="8"/>
        <v>428</v>
      </c>
      <c r="S116" s="150" t="str">
        <f t="shared" si="9"/>
        <v>_</v>
      </c>
      <c r="T116" s="152" t="str">
        <f>+VLOOKUP($L116,Data_Validation!$A:$D,1,0)</f>
        <v>428</v>
      </c>
      <c r="U116" s="152" t="str">
        <f>+VLOOKUP($L116,Data_Validation!$A:$D,3,0)</f>
        <v>Véhicules neufs</v>
      </c>
      <c r="V116" s="152" t="str">
        <f>+VLOOKUP($L116,Data_Validation!$A:$D,4,0)</f>
        <v>Camions détail</v>
      </c>
      <c r="W116" s="152" t="str">
        <f>+VLOOKUP($L116,Data_Validation!$A:$E,5,0)</f>
        <v>$</v>
      </c>
      <c r="X116" s="152" t="str">
        <f>+VLOOKUP($L116,Data_Validation!$A:$F,6,0)</f>
        <v>Oui</v>
      </c>
    </row>
    <row r="117" spans="1:24" ht="15.75" customHeight="1">
      <c r="A117" s="708" t="s">
        <v>1024</v>
      </c>
      <c r="B117" s="708" t="s">
        <v>407</v>
      </c>
      <c r="C117" s="709">
        <v>0</v>
      </c>
      <c r="D117" s="1274">
        <v>-92733.5</v>
      </c>
      <c r="E117" s="1274">
        <v>-92733.5</v>
      </c>
      <c r="F117" s="708" t="s">
        <v>2006</v>
      </c>
      <c r="G117" s="708" t="s">
        <v>407</v>
      </c>
      <c r="H117" s="709" t="s">
        <v>3000</v>
      </c>
      <c r="I117" s="710"/>
      <c r="J117" s="710"/>
      <c r="K117" s="710"/>
      <c r="L117" s="149" t="str">
        <f t="shared" si="5"/>
        <v>429C</v>
      </c>
      <c r="M117" s="150" t="str">
        <f t="shared" si="6"/>
        <v>VTE - X4 M40I XDRIVE</v>
      </c>
      <c r="N117" s="151">
        <f>+IF(OR($Q117=Parametres!$G$2,$Q117=Parametres!$G$3),I117,C117)</f>
        <v>0</v>
      </c>
      <c r="O117" s="151">
        <f>+IF(OR($Q117=Parametres!$G$2,$Q117=Parametres!$G$3),J117,D117)</f>
        <v>-92733.5</v>
      </c>
      <c r="P117" s="151">
        <f>+IF(OR($Q117=Parametres!$G$2,$Q117=Parametres!$G$3),K117,E117)</f>
        <v>-92733.5</v>
      </c>
      <c r="Q117" s="150" t="str">
        <f t="shared" si="7"/>
        <v>5-Ventes</v>
      </c>
      <c r="R117" s="149" t="str">
        <f t="shared" si="8"/>
        <v>429C</v>
      </c>
      <c r="S117" s="150" t="str">
        <f t="shared" si="9"/>
        <v>_</v>
      </c>
      <c r="T117" s="152" t="str">
        <f>+VLOOKUP($L117,Data_Validation!$A:$D,1,0)</f>
        <v>429C</v>
      </c>
      <c r="U117" s="152" t="str">
        <f>+VLOOKUP($L117,Data_Validation!$A:$D,3,0)</f>
        <v>Véhicules neufs</v>
      </c>
      <c r="V117" s="152" t="str">
        <f>+VLOOKUP($L117,Data_Validation!$A:$D,4,0)</f>
        <v>Camions détail</v>
      </c>
      <c r="W117" s="152" t="str">
        <f>+VLOOKUP($L117,Data_Validation!$A:$E,5,0)</f>
        <v>$</v>
      </c>
      <c r="X117" s="152" t="str">
        <f>+VLOOKUP($L117,Data_Validation!$A:$F,6,0)</f>
        <v>Oui</v>
      </c>
    </row>
    <row r="118" spans="1:24" ht="15" customHeight="1">
      <c r="A118" s="708" t="s">
        <v>1864</v>
      </c>
      <c r="B118" s="708" t="s">
        <v>625</v>
      </c>
      <c r="C118" s="710">
        <v>0</v>
      </c>
      <c r="D118" s="710">
        <v>-157570.57999999999</v>
      </c>
      <c r="E118" s="710">
        <v>-157570.57999999999</v>
      </c>
      <c r="F118" s="708" t="s">
        <v>2006</v>
      </c>
      <c r="G118" s="708" t="s">
        <v>625</v>
      </c>
      <c r="H118" s="664" t="s">
        <v>3000</v>
      </c>
      <c r="I118" s="663"/>
      <c r="J118" s="663"/>
      <c r="K118" s="663"/>
      <c r="L118" s="149" t="str">
        <f t="shared" si="5"/>
        <v>430</v>
      </c>
      <c r="M118" s="150" t="str">
        <f t="shared" si="6"/>
        <v>VTE - M5 SEDAN</v>
      </c>
      <c r="N118" s="151">
        <f>+IF(OR($Q118=Parametres!$G$2,$Q118=Parametres!$G$3),I118,C118)</f>
        <v>0</v>
      </c>
      <c r="O118" s="151">
        <f>+IF(OR($Q118=Parametres!$G$2,$Q118=Parametres!$G$3),J118,D118)</f>
        <v>-157570.57999999999</v>
      </c>
      <c r="P118" s="151">
        <f>+IF(OR($Q118=Parametres!$G$2,$Q118=Parametres!$G$3),K118,E118)</f>
        <v>-157570.57999999999</v>
      </c>
      <c r="Q118" s="150" t="str">
        <f t="shared" si="7"/>
        <v>5-Ventes</v>
      </c>
      <c r="R118" s="149" t="str">
        <f t="shared" si="8"/>
        <v>430</v>
      </c>
      <c r="S118" s="150" t="str">
        <f t="shared" si="9"/>
        <v>_</v>
      </c>
      <c r="T118" s="152" t="str">
        <f>+VLOOKUP($L118,Data_Validation!$A:$D,1,0)</f>
        <v>430</v>
      </c>
      <c r="U118" s="152" t="str">
        <f>+VLOOKUP($L118,Data_Validation!$A:$D,3,0)</f>
        <v>Véhicules neufs</v>
      </c>
      <c r="V118" s="152" t="str">
        <f>+VLOOKUP($L118,Data_Validation!$A:$D,4,0)</f>
        <v>Autos détail</v>
      </c>
      <c r="W118" s="152" t="str">
        <f>+VLOOKUP($L118,Data_Validation!$A:$E,5,0)</f>
        <v>$</v>
      </c>
      <c r="X118" s="152" t="str">
        <f>+VLOOKUP($L118,Data_Validation!$A:$F,6,0)</f>
        <v>Oui</v>
      </c>
    </row>
    <row r="119" spans="1:24" ht="15" customHeight="1">
      <c r="A119" s="708" t="s">
        <v>1136</v>
      </c>
      <c r="B119" s="708" t="s">
        <v>1014</v>
      </c>
      <c r="C119" s="709">
        <v>0</v>
      </c>
      <c r="D119" s="1274">
        <v>-4188</v>
      </c>
      <c r="E119" s="1274">
        <v>-4188</v>
      </c>
      <c r="F119" s="708" t="s">
        <v>2006</v>
      </c>
      <c r="G119" s="708" t="s">
        <v>625</v>
      </c>
      <c r="H119" s="709" t="s">
        <v>3000</v>
      </c>
      <c r="I119" s="710"/>
      <c r="J119" s="710"/>
      <c r="K119" s="710"/>
      <c r="L119" s="149" t="str">
        <f t="shared" si="5"/>
        <v>430A</v>
      </c>
      <c r="M119" s="150" t="str">
        <f t="shared" si="6"/>
        <v>VTES -VTE - MARQUAGE NEUF BMW AUTO</v>
      </c>
      <c r="N119" s="151">
        <f>+IF(OR($Q119=Parametres!$G$2,$Q119=Parametres!$G$3),I119,C119)</f>
        <v>0</v>
      </c>
      <c r="O119" s="151">
        <f>+IF(OR($Q119=Parametres!$G$2,$Q119=Parametres!$G$3),J119,D119)</f>
        <v>-4188</v>
      </c>
      <c r="P119" s="151">
        <f>+IF(OR($Q119=Parametres!$G$2,$Q119=Parametres!$G$3),K119,E119)</f>
        <v>-4188</v>
      </c>
      <c r="Q119" s="150" t="str">
        <f t="shared" si="7"/>
        <v>5-Ventes</v>
      </c>
      <c r="R119" s="149" t="str">
        <f t="shared" si="8"/>
        <v>430</v>
      </c>
      <c r="S119" s="150" t="str">
        <f t="shared" si="9"/>
        <v>_</v>
      </c>
      <c r="T119" s="152" t="str">
        <f>+VLOOKUP($L119,Data_Validation!$A:$D,1,0)</f>
        <v>430A</v>
      </c>
      <c r="U119" s="152" t="str">
        <f>+VLOOKUP($L119,Data_Validation!$A:$D,3,0)</f>
        <v>Véhicules neufs</v>
      </c>
      <c r="V119" s="152" t="str">
        <f>+VLOOKUP($L119,Data_Validation!$A:$D,4,0)</f>
        <v>Rev. Autres</v>
      </c>
      <c r="W119" s="152" t="str">
        <f>+VLOOKUP($L119,Data_Validation!$A:$E,5,0)</f>
        <v>$</v>
      </c>
      <c r="X119" s="152" t="str">
        <f>+VLOOKUP($L119,Data_Validation!$A:$F,6,0)</f>
        <v>Oui</v>
      </c>
    </row>
    <row r="120" spans="1:24" ht="15" customHeight="1">
      <c r="A120" s="708" t="s">
        <v>1390</v>
      </c>
      <c r="B120" s="708" t="s">
        <v>1016</v>
      </c>
      <c r="C120" s="710">
        <v>0</v>
      </c>
      <c r="D120" s="710">
        <v>-13513.9</v>
      </c>
      <c r="E120" s="710">
        <v>-13513.9</v>
      </c>
      <c r="F120" s="708" t="s">
        <v>2006</v>
      </c>
      <c r="G120" s="708" t="s">
        <v>625</v>
      </c>
      <c r="H120" s="664" t="s">
        <v>3000</v>
      </c>
      <c r="I120" s="663"/>
      <c r="J120" s="663"/>
      <c r="K120" s="663"/>
      <c r="L120" s="149" t="str">
        <f t="shared" si="5"/>
        <v>430C</v>
      </c>
      <c r="M120" s="150" t="str">
        <f t="shared" si="6"/>
        <v>VTE - ACCESSOIRES NEUFS BMW AUTO</v>
      </c>
      <c r="N120" s="151">
        <f>+IF(OR($Q120=Parametres!$G$2,$Q120=Parametres!$G$3),I120,C120)</f>
        <v>0</v>
      </c>
      <c r="O120" s="151">
        <f>+IF(OR($Q120=Parametres!$G$2,$Q120=Parametres!$G$3),J120,D120)</f>
        <v>-13513.9</v>
      </c>
      <c r="P120" s="151">
        <f>+IF(OR($Q120=Parametres!$G$2,$Q120=Parametres!$G$3),K120,E120)</f>
        <v>-13513.9</v>
      </c>
      <c r="Q120" s="150" t="str">
        <f t="shared" si="7"/>
        <v>5-Ventes</v>
      </c>
      <c r="R120" s="149" t="str">
        <f t="shared" si="8"/>
        <v>430</v>
      </c>
      <c r="S120" s="150" t="str">
        <f t="shared" si="9"/>
        <v>_</v>
      </c>
      <c r="T120" s="152" t="str">
        <f>+VLOOKUP($L120,Data_Validation!$A:$D,1,0)</f>
        <v>430C</v>
      </c>
      <c r="U120" s="152" t="str">
        <f>+VLOOKUP($L120,Data_Validation!$A:$D,3,0)</f>
        <v>Véhicules neufs</v>
      </c>
      <c r="V120" s="152" t="str">
        <f>+VLOOKUP($L120,Data_Validation!$A:$D,4,0)</f>
        <v>Rev. Autres</v>
      </c>
      <c r="W120" s="152" t="str">
        <f>+VLOOKUP($L120,Data_Validation!$A:$E,5,0)</f>
        <v>$</v>
      </c>
      <c r="X120" s="152" t="str">
        <f>+VLOOKUP($L120,Data_Validation!$A:$F,6,0)</f>
        <v>Oui</v>
      </c>
    </row>
    <row r="121" spans="1:24" ht="15" customHeight="1">
      <c r="A121" s="708" t="s">
        <v>1164</v>
      </c>
      <c r="B121" s="708" t="s">
        <v>1165</v>
      </c>
      <c r="C121" s="710">
        <v>0</v>
      </c>
      <c r="D121" s="710">
        <v>-8810</v>
      </c>
      <c r="E121" s="710">
        <v>-8810</v>
      </c>
      <c r="F121" s="708" t="s">
        <v>2006</v>
      </c>
      <c r="G121" s="708" t="s">
        <v>625</v>
      </c>
      <c r="H121" s="657" t="s">
        <v>3000</v>
      </c>
      <c r="I121" s="656"/>
      <c r="J121" s="656"/>
      <c r="K121" s="656"/>
      <c r="L121" s="149" t="str">
        <f t="shared" si="5"/>
        <v>430E</v>
      </c>
      <c r="M121" s="150" t="str">
        <f t="shared" si="6"/>
        <v>VTE - PROTEC ESTHETIQUE NEUF BMW AUTO</v>
      </c>
      <c r="N121" s="151">
        <f>+IF(OR($Q121=Parametres!$G$2,$Q121=Parametres!$G$3),I121,C121)</f>
        <v>0</v>
      </c>
      <c r="O121" s="151">
        <f>+IF(OR($Q121=Parametres!$G$2,$Q121=Parametres!$G$3),J121,D121)</f>
        <v>-8810</v>
      </c>
      <c r="P121" s="151">
        <f>+IF(OR($Q121=Parametres!$G$2,$Q121=Parametres!$G$3),K121,E121)</f>
        <v>-8810</v>
      </c>
      <c r="Q121" s="150" t="str">
        <f t="shared" si="7"/>
        <v>5-Ventes</v>
      </c>
      <c r="R121" s="149" t="str">
        <f t="shared" si="8"/>
        <v>430</v>
      </c>
      <c r="S121" s="150" t="str">
        <f t="shared" si="9"/>
        <v>_</v>
      </c>
      <c r="T121" s="152" t="str">
        <f>+VLOOKUP($L121,Data_Validation!$A:$D,1,0)</f>
        <v>430E</v>
      </c>
      <c r="U121" s="152" t="str">
        <f>+VLOOKUP($L121,Data_Validation!$A:$D,3,0)</f>
        <v>Véhicules neufs</v>
      </c>
      <c r="V121" s="152" t="str">
        <f>+VLOOKUP($L121,Data_Validation!$A:$D,4,0)</f>
        <v>Rev. Protections</v>
      </c>
      <c r="W121" s="152" t="str">
        <f>+VLOOKUP($L121,Data_Validation!$A:$E,5,0)</f>
        <v>$</v>
      </c>
      <c r="X121" s="152" t="str">
        <f>+VLOOKUP($L121,Data_Validation!$A:$F,6,0)</f>
        <v>Oui</v>
      </c>
    </row>
    <row r="122" spans="1:24" ht="15" customHeight="1">
      <c r="A122" s="708" t="s">
        <v>3015</v>
      </c>
      <c r="B122" s="708" t="s">
        <v>1199</v>
      </c>
      <c r="C122" s="710">
        <v>0</v>
      </c>
      <c r="D122" s="710">
        <v>-1000</v>
      </c>
      <c r="E122" s="710">
        <v>-1000</v>
      </c>
      <c r="F122" s="708" t="s">
        <v>2006</v>
      </c>
      <c r="G122" s="708" t="s">
        <v>625</v>
      </c>
      <c r="H122" s="664" t="s">
        <v>3000</v>
      </c>
      <c r="I122" s="663"/>
      <c r="J122" s="663"/>
      <c r="K122" s="663"/>
      <c r="L122" s="149" t="str">
        <f t="shared" si="5"/>
        <v>430T</v>
      </c>
      <c r="M122" s="150" t="str">
        <f t="shared" si="6"/>
        <v>VTES -VTE - TRAITEMENT PROTECTION NEUF BMW AU</v>
      </c>
      <c r="N122" s="151">
        <f>+IF(OR($Q122=Parametres!$G$2,$Q122=Parametres!$G$3),I122,C122)</f>
        <v>0</v>
      </c>
      <c r="O122" s="497">
        <f>+IF(OR($Q122=Parametres!$G$2,$Q122=Parametres!$G$3),J122,D122)</f>
        <v>-1000</v>
      </c>
      <c r="P122" s="151">
        <f>+IF(OR($Q122=Parametres!$G$2,$Q122=Parametres!$G$3),K122,E122)</f>
        <v>-1000</v>
      </c>
      <c r="Q122" s="150" t="str">
        <f t="shared" si="7"/>
        <v>5-Ventes</v>
      </c>
      <c r="R122" s="149" t="str">
        <f t="shared" si="8"/>
        <v>430</v>
      </c>
      <c r="S122" s="150" t="str">
        <f t="shared" si="9"/>
        <v>_</v>
      </c>
      <c r="T122" s="152" t="str">
        <f>+VLOOKUP($L122,Data_Validation!$A:$D,1,0)</f>
        <v>430T</v>
      </c>
      <c r="U122" s="152" t="str">
        <f>+VLOOKUP($L122,Data_Validation!$A:$D,3,0)</f>
        <v>Véhicules neufs</v>
      </c>
      <c r="V122" s="152" t="str">
        <f>+VLOOKUP($L122,Data_Validation!$A:$D,4,0)</f>
        <v>Rev. Autres</v>
      </c>
      <c r="W122" s="152" t="str">
        <f>+VLOOKUP($L122,Data_Validation!$A:$E,5,0)</f>
        <v>$</v>
      </c>
      <c r="X122" s="152" t="str">
        <f>+VLOOKUP($L122,Data_Validation!$A:$F,6,0)</f>
        <v>Oui</v>
      </c>
    </row>
    <row r="123" spans="1:24" ht="15.75" customHeight="1">
      <c r="A123" s="708" t="s">
        <v>1121</v>
      </c>
      <c r="B123" s="708" t="s">
        <v>1122</v>
      </c>
      <c r="C123" s="710">
        <v>0</v>
      </c>
      <c r="D123" s="710">
        <v>-5197</v>
      </c>
      <c r="E123" s="710">
        <v>-5197</v>
      </c>
      <c r="F123" s="708" t="s">
        <v>2006</v>
      </c>
      <c r="G123" s="708" t="s">
        <v>625</v>
      </c>
      <c r="H123" s="600" t="s">
        <v>3000</v>
      </c>
      <c r="I123" s="153"/>
      <c r="J123" s="153"/>
      <c r="K123" s="153"/>
      <c r="L123" s="149" t="str">
        <f t="shared" si="5"/>
        <v>430U</v>
      </c>
      <c r="M123" s="150" t="str">
        <f t="shared" si="6"/>
        <v>VTE - ASSIST USURE NEUF BMW AUTO</v>
      </c>
      <c r="N123" s="151">
        <f>+IF(OR($Q123=Parametres!$G$2,$Q123=Parametres!$G$3),I123,C123)</f>
        <v>0</v>
      </c>
      <c r="O123" s="497">
        <f>+IF(OR($Q123=Parametres!$G$2,$Q123=Parametres!$G$3),J123,D123)</f>
        <v>-5197</v>
      </c>
      <c r="P123" s="151">
        <f>+IF(OR($Q123=Parametres!$G$2,$Q123=Parametres!$G$3),K123,E123)</f>
        <v>-5197</v>
      </c>
      <c r="Q123" s="150" t="str">
        <f t="shared" si="7"/>
        <v>5-Ventes</v>
      </c>
      <c r="R123" s="149" t="str">
        <f t="shared" si="8"/>
        <v>430</v>
      </c>
      <c r="S123" s="150" t="str">
        <f t="shared" si="9"/>
        <v>_</v>
      </c>
      <c r="T123" s="152" t="str">
        <f>+VLOOKUP($L123,Data_Validation!$A:$D,1,0)</f>
        <v>430U</v>
      </c>
      <c r="U123" s="152" t="str">
        <f>+VLOOKUP($L123,Data_Validation!$A:$D,3,0)</f>
        <v>Véhicules neufs</v>
      </c>
      <c r="V123" s="152" t="str">
        <f>+VLOOKUP($L123,Data_Validation!$A:$D,4,0)</f>
        <v>Rev. Protections</v>
      </c>
      <c r="W123" s="152" t="str">
        <f>+VLOOKUP($L123,Data_Validation!$A:$E,5,0)</f>
        <v>$</v>
      </c>
      <c r="X123" s="152" t="str">
        <f>+VLOOKUP($L123,Data_Validation!$A:$F,6,0)</f>
        <v>Oui</v>
      </c>
    </row>
    <row r="124" spans="1:24" ht="15" customHeight="1">
      <c r="A124" s="708" t="s">
        <v>2094</v>
      </c>
      <c r="B124" s="708" t="s">
        <v>2093</v>
      </c>
      <c r="C124" s="710">
        <v>0</v>
      </c>
      <c r="D124" s="710">
        <v>-1050</v>
      </c>
      <c r="E124" s="710">
        <v>-1050</v>
      </c>
      <c r="F124" s="708" t="s">
        <v>2006</v>
      </c>
      <c r="G124" s="708" t="s">
        <v>2359</v>
      </c>
      <c r="H124" s="602" t="s">
        <v>3000</v>
      </c>
      <c r="I124" s="601"/>
      <c r="J124" s="601"/>
      <c r="K124" s="601"/>
      <c r="L124" s="149" t="str">
        <f t="shared" si="5"/>
        <v>434A</v>
      </c>
      <c r="M124" s="150" t="str">
        <f t="shared" si="6"/>
        <v>VTE - CONT ENTRT NEUF BMW AUTO</v>
      </c>
      <c r="N124" s="151">
        <f>+IF(OR($Q124=Parametres!$G$2,$Q124=Parametres!$G$3),I124,C124)</f>
        <v>0</v>
      </c>
      <c r="O124" s="151">
        <f>+IF(OR($Q124=Parametres!$G$2,$Q124=Parametres!$G$3),J124,D124)</f>
        <v>-1050</v>
      </c>
      <c r="P124" s="151">
        <f>+IF(OR($Q124=Parametres!$G$2,$Q124=Parametres!$G$3),K124,E124)</f>
        <v>-1050</v>
      </c>
      <c r="Q124" s="150" t="str">
        <f t="shared" si="7"/>
        <v>5-Ventes</v>
      </c>
      <c r="R124" s="149" t="str">
        <f t="shared" si="8"/>
        <v>434</v>
      </c>
      <c r="S124" s="150" t="str">
        <f t="shared" si="9"/>
        <v>_</v>
      </c>
      <c r="T124" s="152" t="str">
        <f>+VLOOKUP($L124,Data_Validation!$A:$D,1,0)</f>
        <v>434A</v>
      </c>
      <c r="U124" s="152" t="str">
        <f>+VLOOKUP($L124,Data_Validation!$A:$D,3,0)</f>
        <v>Véhicules neufs</v>
      </c>
      <c r="V124" s="152" t="str">
        <f>+VLOOKUP($L124,Data_Validation!$A:$D,4,0)</f>
        <v>Rev. Protections</v>
      </c>
      <c r="W124" s="152" t="str">
        <f>+VLOOKUP($L124,Data_Validation!$A:$E,5,0)</f>
        <v>$</v>
      </c>
      <c r="X124" s="152" t="str">
        <f>+VLOOKUP($L124,Data_Validation!$A:$F,6,0)</f>
        <v>Oui</v>
      </c>
    </row>
    <row r="125" spans="1:24" ht="15" customHeight="1">
      <c r="A125" s="708" t="s">
        <v>1070</v>
      </c>
      <c r="B125" s="708" t="s">
        <v>398</v>
      </c>
      <c r="C125" s="710">
        <v>0</v>
      </c>
      <c r="D125" s="710">
        <v>-12100</v>
      </c>
      <c r="E125" s="710">
        <v>-12100</v>
      </c>
      <c r="F125" s="708" t="s">
        <v>2006</v>
      </c>
      <c r="G125" s="708" t="s">
        <v>398</v>
      </c>
      <c r="H125" s="600" t="s">
        <v>3000</v>
      </c>
      <c r="I125" s="601"/>
      <c r="J125" s="601"/>
      <c r="K125" s="601"/>
      <c r="L125" s="149" t="str">
        <f t="shared" si="5"/>
        <v>444B</v>
      </c>
      <c r="M125" s="150" t="str">
        <f t="shared" si="6"/>
        <v>VTE - GROS BMW CAMION</v>
      </c>
      <c r="N125" s="151">
        <f>+IF(OR($Q125=Parametres!$G$2,$Q125=Parametres!$G$3),I125,C125)</f>
        <v>0</v>
      </c>
      <c r="O125" s="151">
        <f>+IF(OR($Q125=Parametres!$G$2,$Q125=Parametres!$G$3),J125,D125)</f>
        <v>-12100</v>
      </c>
      <c r="P125" s="151">
        <f>+IF(OR($Q125=Parametres!$G$2,$Q125=Parametres!$G$3),K125,E125)</f>
        <v>-12100</v>
      </c>
      <c r="Q125" s="150" t="str">
        <f t="shared" si="7"/>
        <v>5-Ventes</v>
      </c>
      <c r="R125" s="149" t="str">
        <f t="shared" si="8"/>
        <v>444B</v>
      </c>
      <c r="S125" s="150" t="str">
        <f t="shared" si="9"/>
        <v>_</v>
      </c>
      <c r="T125" s="152" t="str">
        <f>+VLOOKUP($L125,Data_Validation!$A:$D,1,0)</f>
        <v>444B</v>
      </c>
      <c r="U125" s="152" t="str">
        <f>+VLOOKUP($L125,Data_Validation!$A:$D,3,0)</f>
        <v>Véhicules usagés</v>
      </c>
      <c r="V125" s="152" t="str">
        <f>+VLOOKUP($L125,Data_Validation!$A:$D,4,0)</f>
        <v>Ventes au Gros</v>
      </c>
      <c r="W125" s="152" t="str">
        <f>+VLOOKUP($L125,Data_Validation!$A:$E,5,0)</f>
        <v>$</v>
      </c>
      <c r="X125" s="152" t="str">
        <f>+VLOOKUP($L125,Data_Validation!$A:$F,6,0)</f>
        <v>Oui</v>
      </c>
    </row>
    <row r="126" spans="1:24" ht="15" customHeight="1">
      <c r="A126" s="708" t="s">
        <v>1076</v>
      </c>
      <c r="B126" s="708" t="s">
        <v>401</v>
      </c>
      <c r="C126" s="710">
        <v>0</v>
      </c>
      <c r="D126" s="710">
        <v>-51000</v>
      </c>
      <c r="E126" s="710">
        <v>-51000</v>
      </c>
      <c r="F126" s="708" t="s">
        <v>2006</v>
      </c>
      <c r="G126" s="708" t="s">
        <v>401</v>
      </c>
      <c r="H126" s="664" t="s">
        <v>3000</v>
      </c>
      <c r="I126" s="664"/>
      <c r="J126" s="664"/>
      <c r="K126" s="664"/>
      <c r="L126" s="149" t="str">
        <f t="shared" si="5"/>
        <v>444C</v>
      </c>
      <c r="M126" s="150" t="str">
        <f t="shared" si="6"/>
        <v>VTE - GROS AUTRES</v>
      </c>
      <c r="N126" s="151">
        <f>+IF(OR($Q126=Parametres!$G$2,$Q126=Parametres!$G$3),I126,C126)</f>
        <v>0</v>
      </c>
      <c r="O126" s="497">
        <f>+IF(OR($Q126=Parametres!$G$2,$Q126=Parametres!$G$3),J126,D126)</f>
        <v>-51000</v>
      </c>
      <c r="P126" s="151">
        <f>+IF(OR($Q126=Parametres!$G$2,$Q126=Parametres!$G$3),K126,E126)</f>
        <v>-51000</v>
      </c>
      <c r="Q126" s="150" t="str">
        <f t="shared" si="7"/>
        <v>5-Ventes</v>
      </c>
      <c r="R126" s="149" t="str">
        <f t="shared" si="8"/>
        <v>444C</v>
      </c>
      <c r="S126" s="150" t="str">
        <f t="shared" si="9"/>
        <v>_</v>
      </c>
      <c r="T126" s="152" t="str">
        <f>+VLOOKUP($L126,Data_Validation!$A:$D,1,0)</f>
        <v>444C</v>
      </c>
      <c r="U126" s="152" t="str">
        <f>+VLOOKUP($L126,Data_Validation!$A:$D,3,0)</f>
        <v>Véhicules usagés</v>
      </c>
      <c r="V126" s="152" t="str">
        <f>+VLOOKUP($L126,Data_Validation!$A:$D,4,0)</f>
        <v>Ventes au Gros</v>
      </c>
      <c r="W126" s="152" t="str">
        <f>+VLOOKUP($L126,Data_Validation!$A:$E,5,0)</f>
        <v>$</v>
      </c>
      <c r="X126" s="152" t="str">
        <f>+VLOOKUP($L126,Data_Validation!$A:$F,6,0)</f>
        <v>Oui</v>
      </c>
    </row>
    <row r="127" spans="1:24" ht="15" customHeight="1">
      <c r="A127" s="708" t="s">
        <v>1086</v>
      </c>
      <c r="B127" s="708" t="s">
        <v>418</v>
      </c>
      <c r="C127" s="710">
        <v>0</v>
      </c>
      <c r="D127" s="710">
        <v>-142765.35</v>
      </c>
      <c r="E127" s="710">
        <v>-142765.35</v>
      </c>
      <c r="F127" s="708" t="s">
        <v>2006</v>
      </c>
      <c r="G127" s="708" t="s">
        <v>418</v>
      </c>
      <c r="H127" s="664" t="s">
        <v>3000</v>
      </c>
      <c r="I127" s="663"/>
      <c r="J127" s="663"/>
      <c r="K127" s="663"/>
      <c r="L127" s="149" t="str">
        <f t="shared" si="5"/>
        <v>446A</v>
      </c>
      <c r="M127" s="150" t="str">
        <f t="shared" si="6"/>
        <v>VTE - USAGE BMW CAMION CERT</v>
      </c>
      <c r="N127" s="151">
        <f>+IF(OR($Q127=Parametres!$G$2,$Q127=Parametres!$G$3),I127,C127)</f>
        <v>0</v>
      </c>
      <c r="O127" s="497">
        <f>+IF(OR($Q127=Parametres!$G$2,$Q127=Parametres!$G$3),J127,D127)</f>
        <v>-142765.35</v>
      </c>
      <c r="P127" s="151">
        <f>+IF(OR($Q127=Parametres!$G$2,$Q127=Parametres!$G$3),K127,E127)</f>
        <v>-142765.35</v>
      </c>
      <c r="Q127" s="150" t="str">
        <f t="shared" si="7"/>
        <v>5-Ventes</v>
      </c>
      <c r="R127" s="149" t="str">
        <f t="shared" si="8"/>
        <v>446A</v>
      </c>
      <c r="S127" s="150" t="str">
        <f t="shared" si="9"/>
        <v>_</v>
      </c>
      <c r="T127" s="152" t="str">
        <f>+VLOOKUP($L127,Data_Validation!$A:$D,1,0)</f>
        <v>446A</v>
      </c>
      <c r="U127" s="152" t="str">
        <f>+VLOOKUP($L127,Data_Validation!$A:$D,3,0)</f>
        <v>Véhicules usagés</v>
      </c>
      <c r="V127" s="152" t="str">
        <f>+VLOOKUP($L127,Data_Validation!$A:$D,4,0)</f>
        <v>Certifié</v>
      </c>
      <c r="W127" s="152" t="str">
        <f>+VLOOKUP($L127,Data_Validation!$A:$E,5,0)</f>
        <v>$</v>
      </c>
      <c r="X127" s="152" t="str">
        <f>+VLOOKUP($L127,Data_Validation!$A:$F,6,0)</f>
        <v>Oui</v>
      </c>
    </row>
    <row r="128" spans="1:24" ht="15" customHeight="1">
      <c r="A128" s="708" t="s">
        <v>1088</v>
      </c>
      <c r="B128" s="708" t="s">
        <v>404</v>
      </c>
      <c r="C128" s="709">
        <v>0</v>
      </c>
      <c r="D128" s="1274">
        <v>-89693</v>
      </c>
      <c r="E128" s="1274">
        <v>-89693</v>
      </c>
      <c r="F128" s="708" t="s">
        <v>2006</v>
      </c>
      <c r="G128" s="708" t="s">
        <v>404</v>
      </c>
      <c r="H128" s="709" t="s">
        <v>3000</v>
      </c>
      <c r="I128" s="710"/>
      <c r="J128" s="710"/>
      <c r="K128" s="710"/>
      <c r="L128" s="149" t="str">
        <f t="shared" si="5"/>
        <v>446B</v>
      </c>
      <c r="M128" s="150" t="str">
        <f t="shared" si="6"/>
        <v>VTE - USAGE BMW CAMION NON-CERT</v>
      </c>
      <c r="N128" s="151">
        <f>+IF(OR($Q128=Parametres!$G$2,$Q128=Parametres!$G$3),I128,C128)</f>
        <v>0</v>
      </c>
      <c r="O128" s="151">
        <f>+IF(OR($Q128=Parametres!$G$2,$Q128=Parametres!$G$3),J128,D128)</f>
        <v>-89693</v>
      </c>
      <c r="P128" s="151">
        <f>+IF(OR($Q128=Parametres!$G$2,$Q128=Parametres!$G$3),K128,E128)</f>
        <v>-89693</v>
      </c>
      <c r="Q128" s="150" t="str">
        <f t="shared" si="7"/>
        <v>5-Ventes</v>
      </c>
      <c r="R128" s="149" t="str">
        <f t="shared" si="8"/>
        <v>446B</v>
      </c>
      <c r="S128" s="150" t="str">
        <f t="shared" si="9"/>
        <v>_</v>
      </c>
      <c r="T128" s="152" t="str">
        <f>+VLOOKUP($L128,Data_Validation!$A:$D,1,0)</f>
        <v>446B</v>
      </c>
      <c r="U128" s="152" t="str">
        <f>+VLOOKUP($L128,Data_Validation!$A:$D,3,0)</f>
        <v>Véhicules usagés</v>
      </c>
      <c r="V128" s="152" t="str">
        <f>+VLOOKUP($L128,Data_Validation!$A:$D,4,0)</f>
        <v>Non Certifié</v>
      </c>
      <c r="W128" s="152" t="str">
        <f>+VLOOKUP($L128,Data_Validation!$A:$E,5,0)</f>
        <v>$</v>
      </c>
      <c r="X128" s="152" t="str">
        <f>+VLOOKUP($L128,Data_Validation!$A:$F,6,0)</f>
        <v>Oui</v>
      </c>
    </row>
    <row r="129" spans="1:24" ht="15" customHeight="1">
      <c r="A129" s="708" t="s">
        <v>1396</v>
      </c>
      <c r="B129" s="708" t="s">
        <v>400</v>
      </c>
      <c r="C129" s="710">
        <v>0</v>
      </c>
      <c r="D129" s="710">
        <v>-30366.799999999999</v>
      </c>
      <c r="E129" s="710">
        <v>-30366.799999999999</v>
      </c>
      <c r="F129" s="708" t="s">
        <v>2006</v>
      </c>
      <c r="G129" s="708" t="s">
        <v>400</v>
      </c>
      <c r="H129" s="664" t="s">
        <v>3000</v>
      </c>
      <c r="I129" s="663"/>
      <c r="J129" s="663"/>
      <c r="K129" s="663"/>
      <c r="L129" s="149" t="str">
        <f t="shared" si="5"/>
        <v>448</v>
      </c>
      <c r="M129" s="150" t="str">
        <f t="shared" si="6"/>
        <v>VTE - RACHAT LOCATION BMW</v>
      </c>
      <c r="N129" s="151">
        <f>+IF(OR($Q129=Parametres!$G$2,$Q129=Parametres!$G$3),I129,C129)</f>
        <v>0</v>
      </c>
      <c r="O129" s="151">
        <f>+IF(OR($Q129=Parametres!$G$2,$Q129=Parametres!$G$3),J129,D129)</f>
        <v>-30366.799999999999</v>
      </c>
      <c r="P129" s="151">
        <f>+IF(OR($Q129=Parametres!$G$2,$Q129=Parametres!$G$3),K129,E129)</f>
        <v>-30366.799999999999</v>
      </c>
      <c r="Q129" s="150" t="str">
        <f t="shared" si="7"/>
        <v>5-Ventes</v>
      </c>
      <c r="R129" s="149" t="str">
        <f t="shared" si="8"/>
        <v>448</v>
      </c>
      <c r="S129" s="150" t="str">
        <f t="shared" si="9"/>
        <v>_</v>
      </c>
      <c r="T129" s="152" t="str">
        <f>+VLOOKUP($L129,Data_Validation!$A:$D,1,0)</f>
        <v>448</v>
      </c>
      <c r="U129" s="152" t="str">
        <f>+VLOOKUP($L129,Data_Validation!$A:$D,3,0)</f>
        <v>Véhicules neufs</v>
      </c>
      <c r="V129" s="152" t="str">
        <f>+VLOOKUP($L129,Data_Validation!$A:$D,4,0)</f>
        <v>Rachat bail</v>
      </c>
      <c r="W129" s="152" t="str">
        <f>+VLOOKUP($L129,Data_Validation!$A:$E,5,0)</f>
        <v>$</v>
      </c>
      <c r="X129" s="152" t="str">
        <f>+VLOOKUP($L129,Data_Validation!$A:$F,6,0)</f>
        <v>Oui</v>
      </c>
    </row>
    <row r="130" spans="1:24" ht="15" customHeight="1">
      <c r="A130" s="708" t="s">
        <v>1186</v>
      </c>
      <c r="B130" s="708" t="s">
        <v>1012</v>
      </c>
      <c r="C130" s="710">
        <v>0</v>
      </c>
      <c r="D130" s="710">
        <v>-1197</v>
      </c>
      <c r="E130" s="710">
        <v>-1197</v>
      </c>
      <c r="F130" s="708" t="s">
        <v>2006</v>
      </c>
      <c r="G130" s="708" t="s">
        <v>1012</v>
      </c>
      <c r="H130" s="664" t="s">
        <v>3000</v>
      </c>
      <c r="I130" s="663"/>
      <c r="J130" s="663"/>
      <c r="K130" s="663"/>
      <c r="L130" s="149" t="str">
        <f t="shared" ref="L130:L193" si="10">+B130</f>
        <v>450</v>
      </c>
      <c r="M130" s="150" t="str">
        <f t="shared" ref="M130:M193" si="11">+A130</f>
        <v>VTES -MARQUAGE USAGE BMW CERT</v>
      </c>
      <c r="N130" s="151">
        <f>+IF(OR($Q130=Parametres!$G$2,$Q130=Parametres!$G$3),I130,C130)</f>
        <v>0</v>
      </c>
      <c r="O130" s="151">
        <f>+IF(OR($Q130=Parametres!$G$2,$Q130=Parametres!$G$3),J130,D130)</f>
        <v>-1197</v>
      </c>
      <c r="P130" s="151">
        <f>+IF(OR($Q130=Parametres!$G$2,$Q130=Parametres!$G$3),K130,E130)</f>
        <v>-1197</v>
      </c>
      <c r="Q130" s="150" t="str">
        <f t="shared" ref="Q130:Q193" si="12">+F130</f>
        <v>5-Ventes</v>
      </c>
      <c r="R130" s="149" t="str">
        <f t="shared" ref="R130:R193" si="13">+G130</f>
        <v>450</v>
      </c>
      <c r="S130" s="150" t="str">
        <f t="shared" ref="S130:S193" si="14">+H130</f>
        <v>_</v>
      </c>
      <c r="T130" s="152" t="str">
        <f>+VLOOKUP($L130,Data_Validation!$A:$D,1,0)</f>
        <v>450</v>
      </c>
      <c r="U130" s="152" t="str">
        <f>+VLOOKUP($L130,Data_Validation!$A:$D,3,0)</f>
        <v>Véhicules usagés</v>
      </c>
      <c r="V130" s="152" t="str">
        <f>+VLOOKUP($L130,Data_Validation!$A:$D,4,0)</f>
        <v>Rev. Autres</v>
      </c>
      <c r="W130" s="152" t="str">
        <f>+VLOOKUP($L130,Data_Validation!$A:$E,5,0)</f>
        <v>$</v>
      </c>
      <c r="X130" s="152" t="str">
        <f>+VLOOKUP($L130,Data_Validation!$A:$F,6,0)</f>
        <v>Oui</v>
      </c>
    </row>
    <row r="131" spans="1:24" ht="15.75" customHeight="1">
      <c r="A131" s="708" t="s">
        <v>1398</v>
      </c>
      <c r="B131" s="708" t="s">
        <v>630</v>
      </c>
      <c r="C131" s="710">
        <v>0</v>
      </c>
      <c r="D131" s="710">
        <v>-1794</v>
      </c>
      <c r="E131" s="710">
        <v>-1794</v>
      </c>
      <c r="F131" s="708" t="s">
        <v>2006</v>
      </c>
      <c r="G131" s="708" t="s">
        <v>1012</v>
      </c>
      <c r="H131" s="664" t="s">
        <v>3000</v>
      </c>
      <c r="I131" s="663"/>
      <c r="J131" s="663"/>
      <c r="K131" s="663"/>
      <c r="L131" s="149" t="str">
        <f t="shared" si="10"/>
        <v>450C</v>
      </c>
      <c r="M131" s="150" t="str">
        <f t="shared" si="11"/>
        <v>VTES -ACCESSOIRES USAGE BMW CERT</v>
      </c>
      <c r="N131" s="151">
        <f>+IF(OR($Q131=Parametres!$G$2,$Q131=Parametres!$G$3),I131,C131)</f>
        <v>0</v>
      </c>
      <c r="O131" s="151">
        <f>+IF(OR($Q131=Parametres!$G$2,$Q131=Parametres!$G$3),J131,D131)</f>
        <v>-1794</v>
      </c>
      <c r="P131" s="151">
        <f>+IF(OR($Q131=Parametres!$G$2,$Q131=Parametres!$G$3),K131,E131)</f>
        <v>-1794</v>
      </c>
      <c r="Q131" s="150" t="str">
        <f t="shared" si="12"/>
        <v>5-Ventes</v>
      </c>
      <c r="R131" s="149" t="str">
        <f t="shared" si="13"/>
        <v>450</v>
      </c>
      <c r="S131" s="150" t="str">
        <f t="shared" si="14"/>
        <v>_</v>
      </c>
      <c r="T131" s="152" t="str">
        <f>+VLOOKUP($L131,Data_Validation!$A:$D,1,0)</f>
        <v>450C</v>
      </c>
      <c r="U131" s="152" t="str">
        <f>+VLOOKUP($L131,Data_Validation!$A:$D,3,0)</f>
        <v>Véhicules usagés</v>
      </c>
      <c r="V131" s="152" t="str">
        <f>+VLOOKUP($L131,Data_Validation!$A:$D,4,0)</f>
        <v>Rev. Autres</v>
      </c>
      <c r="W131" s="152" t="str">
        <f>+VLOOKUP($L131,Data_Validation!$A:$E,5,0)</f>
        <v>$</v>
      </c>
      <c r="X131" s="152" t="str">
        <f>+VLOOKUP($L131,Data_Validation!$A:$F,6,0)</f>
        <v>Oui</v>
      </c>
    </row>
    <row r="132" spans="1:24" ht="15" customHeight="1">
      <c r="A132" s="708" t="s">
        <v>1190</v>
      </c>
      <c r="B132" s="708" t="s">
        <v>1191</v>
      </c>
      <c r="C132" s="710">
        <v>0</v>
      </c>
      <c r="D132" s="710">
        <v>-1550</v>
      </c>
      <c r="E132" s="710">
        <v>-1550</v>
      </c>
      <c r="F132" s="708" t="s">
        <v>2006</v>
      </c>
      <c r="G132" s="708" t="s">
        <v>1012</v>
      </c>
      <c r="H132" s="664" t="s">
        <v>3000</v>
      </c>
      <c r="I132" s="663"/>
      <c r="J132" s="663"/>
      <c r="K132" s="663"/>
      <c r="L132" s="149" t="str">
        <f t="shared" si="10"/>
        <v>450E</v>
      </c>
      <c r="M132" s="150" t="str">
        <f t="shared" si="11"/>
        <v>VTE - PROTEC ESTHETIQUE USAGE BMW AUTO</v>
      </c>
      <c r="N132" s="151">
        <f>+IF(OR($Q132=Parametres!$G$2,$Q132=Parametres!$G$3),I132,C132)</f>
        <v>0</v>
      </c>
      <c r="O132" s="151">
        <f>+IF(OR($Q132=Parametres!$G$2,$Q132=Parametres!$G$3),J132,D132)</f>
        <v>-1550</v>
      </c>
      <c r="P132" s="151">
        <f>+IF(OR($Q132=Parametres!$G$2,$Q132=Parametres!$G$3),K132,E132)</f>
        <v>-1550</v>
      </c>
      <c r="Q132" s="150" t="str">
        <f t="shared" si="12"/>
        <v>5-Ventes</v>
      </c>
      <c r="R132" s="149" t="str">
        <f t="shared" si="13"/>
        <v>450</v>
      </c>
      <c r="S132" s="150" t="str">
        <f t="shared" si="14"/>
        <v>_</v>
      </c>
      <c r="T132" s="152" t="str">
        <f>+VLOOKUP($L132,Data_Validation!$A:$D,1,0)</f>
        <v>450E</v>
      </c>
      <c r="U132" s="152" t="str">
        <f>+VLOOKUP($L132,Data_Validation!$A:$D,3,0)</f>
        <v>Véhicules usagés</v>
      </c>
      <c r="V132" s="152" t="str">
        <f>+VLOOKUP($L132,Data_Validation!$A:$D,4,0)</f>
        <v>Rev. Protections</v>
      </c>
      <c r="W132" s="152" t="str">
        <f>+VLOOKUP($L132,Data_Validation!$A:$E,5,0)</f>
        <v>$</v>
      </c>
      <c r="X132" s="152" t="str">
        <f>+VLOOKUP($L132,Data_Validation!$A:$F,6,0)</f>
        <v>Oui</v>
      </c>
    </row>
    <row r="133" spans="1:24" ht="15" customHeight="1">
      <c r="A133" s="708" t="s">
        <v>1650</v>
      </c>
      <c r="B133" s="708" t="s">
        <v>437</v>
      </c>
      <c r="C133" s="710">
        <v>0</v>
      </c>
      <c r="D133" s="710">
        <v>-2012.92</v>
      </c>
      <c r="E133" s="710">
        <v>-2012.92</v>
      </c>
      <c r="F133" s="708" t="s">
        <v>2006</v>
      </c>
      <c r="G133" s="708" t="s">
        <v>1012</v>
      </c>
      <c r="H133" s="664" t="s">
        <v>3000</v>
      </c>
      <c r="I133" s="663"/>
      <c r="J133" s="663"/>
      <c r="K133" s="663"/>
      <c r="L133" s="149" t="str">
        <f t="shared" si="10"/>
        <v>450F</v>
      </c>
      <c r="M133" s="150" t="str">
        <f t="shared" si="11"/>
        <v>VTE - RIST FINANCE USAGE BMW AUTO</v>
      </c>
      <c r="N133" s="151">
        <f>+IF(OR($Q133=Parametres!$G$2,$Q133=Parametres!$G$3),I133,C133)</f>
        <v>0</v>
      </c>
      <c r="O133" s="151">
        <f>+IF(OR($Q133=Parametres!$G$2,$Q133=Parametres!$G$3),J133,D133)</f>
        <v>-2012.92</v>
      </c>
      <c r="P133" s="151">
        <f>+IF(OR($Q133=Parametres!$G$2,$Q133=Parametres!$G$3),K133,E133)</f>
        <v>-2012.92</v>
      </c>
      <c r="Q133" s="150" t="str">
        <f t="shared" si="12"/>
        <v>5-Ventes</v>
      </c>
      <c r="R133" s="149" t="str">
        <f t="shared" si="13"/>
        <v>450</v>
      </c>
      <c r="S133" s="150" t="str">
        <f t="shared" si="14"/>
        <v>_</v>
      </c>
      <c r="T133" s="152" t="str">
        <f>+VLOOKUP($L133,Data_Validation!$A:$D,1,0)</f>
        <v>450F</v>
      </c>
      <c r="U133" s="152" t="str">
        <f>+VLOOKUP($L133,Data_Validation!$A:$D,3,0)</f>
        <v>Véhicules usagés</v>
      </c>
      <c r="V133" s="152" t="str">
        <f>+VLOOKUP($L133,Data_Validation!$A:$D,4,0)</f>
        <v>Rev. Finances</v>
      </c>
      <c r="W133" s="152" t="str">
        <f>+VLOOKUP($L133,Data_Validation!$A:$E,5,0)</f>
        <v>$</v>
      </c>
      <c r="X133" s="152" t="str">
        <f>+VLOOKUP($L133,Data_Validation!$A:$F,6,0)</f>
        <v>Oui</v>
      </c>
    </row>
    <row r="134" spans="1:24" ht="15" customHeight="1">
      <c r="A134" s="708" t="s">
        <v>1105</v>
      </c>
      <c r="B134" s="708" t="s">
        <v>368</v>
      </c>
      <c r="C134" s="710">
        <v>0</v>
      </c>
      <c r="D134" s="710">
        <v>-8080</v>
      </c>
      <c r="E134" s="710">
        <v>-8080</v>
      </c>
      <c r="F134" s="708" t="s">
        <v>2006</v>
      </c>
      <c r="G134" s="708" t="s">
        <v>368</v>
      </c>
      <c r="H134" s="664" t="s">
        <v>3000</v>
      </c>
      <c r="I134" s="663"/>
      <c r="J134" s="663"/>
      <c r="K134" s="663"/>
      <c r="L134" s="149" t="str">
        <f t="shared" si="10"/>
        <v>452</v>
      </c>
      <c r="M134" s="150" t="str">
        <f t="shared" si="11"/>
        <v>VTES -GAR PROL USAGE BMW CERT</v>
      </c>
      <c r="N134" s="151">
        <f>+IF(OR($Q134=Parametres!$G$2,$Q134=Parametres!$G$3),I134,C134)</f>
        <v>0</v>
      </c>
      <c r="O134" s="151">
        <f>+IF(OR($Q134=Parametres!$G$2,$Q134=Parametres!$G$3),J134,D134)</f>
        <v>-8080</v>
      </c>
      <c r="P134" s="151">
        <f>+IF(OR($Q134=Parametres!$G$2,$Q134=Parametres!$G$3),K134,E134)</f>
        <v>-8080</v>
      </c>
      <c r="Q134" s="150" t="str">
        <f t="shared" si="12"/>
        <v>5-Ventes</v>
      </c>
      <c r="R134" s="149" t="str">
        <f t="shared" si="13"/>
        <v>452</v>
      </c>
      <c r="S134" s="150" t="str">
        <f t="shared" si="14"/>
        <v>_</v>
      </c>
      <c r="T134" s="152" t="str">
        <f>+VLOOKUP($L134,Data_Validation!$A:$D,1,0)</f>
        <v>452</v>
      </c>
      <c r="U134" s="152" t="str">
        <f>+VLOOKUP($L134,Data_Validation!$A:$D,3,0)</f>
        <v>Véhicules usagés</v>
      </c>
      <c r="V134" s="152" t="str">
        <f>+VLOOKUP($L134,Data_Validation!$A:$D,4,0)</f>
        <v>Rev. Protections</v>
      </c>
      <c r="W134" s="152" t="str">
        <f>+VLOOKUP($L134,Data_Validation!$A:$E,5,0)</f>
        <v>$</v>
      </c>
      <c r="X134" s="152" t="str">
        <f>+VLOOKUP($L134,Data_Validation!$A:$F,6,0)</f>
        <v>Oui</v>
      </c>
    </row>
    <row r="135" spans="1:24" ht="15.75" customHeight="1">
      <c r="A135" s="708" t="s">
        <v>1984</v>
      </c>
      <c r="B135" s="708" t="s">
        <v>1985</v>
      </c>
      <c r="C135" s="710">
        <v>0</v>
      </c>
      <c r="D135" s="710">
        <v>-5805</v>
      </c>
      <c r="E135" s="710">
        <v>-5805</v>
      </c>
      <c r="F135" s="708" t="s">
        <v>2006</v>
      </c>
      <c r="G135" s="708" t="s">
        <v>368</v>
      </c>
      <c r="H135" s="664" t="s">
        <v>3000</v>
      </c>
      <c r="I135" s="663"/>
      <c r="J135" s="663"/>
      <c r="K135" s="663"/>
      <c r="L135" s="149" t="str">
        <f t="shared" si="10"/>
        <v>452C</v>
      </c>
      <c r="M135" s="150" t="str">
        <f t="shared" si="11"/>
        <v>VTES -GAR PROL USAGE BMW NON-CERT</v>
      </c>
      <c r="N135" s="151">
        <f>+IF(OR($Q135=Parametres!$G$2,$Q135=Parametres!$G$3),I135,C135)</f>
        <v>0</v>
      </c>
      <c r="O135" s="151">
        <f>+IF(OR($Q135=Parametres!$G$2,$Q135=Parametres!$G$3),J135,D135)</f>
        <v>-5805</v>
      </c>
      <c r="P135" s="151">
        <f>+IF(OR($Q135=Parametres!$G$2,$Q135=Parametres!$G$3),K135,E135)</f>
        <v>-5805</v>
      </c>
      <c r="Q135" s="150" t="str">
        <f t="shared" si="12"/>
        <v>5-Ventes</v>
      </c>
      <c r="R135" s="149" t="str">
        <f t="shared" si="13"/>
        <v>452</v>
      </c>
      <c r="S135" s="150" t="str">
        <f t="shared" si="14"/>
        <v>_</v>
      </c>
      <c r="T135" s="152" t="str">
        <f>+VLOOKUP($L135,Data_Validation!$A:$D,1,0)</f>
        <v>452C</v>
      </c>
      <c r="U135" s="152" t="str">
        <f>+VLOOKUP($L135,Data_Validation!$A:$D,3,0)</f>
        <v>Véhicules usagés</v>
      </c>
      <c r="V135" s="152" t="str">
        <f>+VLOOKUP($L135,Data_Validation!$A:$D,4,0)</f>
        <v>Rev. Protections</v>
      </c>
      <c r="W135" s="152" t="str">
        <f>+VLOOKUP($L135,Data_Validation!$A:$E,5,0)</f>
        <v>$</v>
      </c>
      <c r="X135" s="152" t="str">
        <f>+VLOOKUP($L135,Data_Validation!$A:$F,6,0)</f>
        <v>Oui</v>
      </c>
    </row>
    <row r="136" spans="1:24" ht="15" customHeight="1">
      <c r="A136" s="708" t="s">
        <v>2365</v>
      </c>
      <c r="B136" s="708" t="s">
        <v>2360</v>
      </c>
      <c r="C136" s="709">
        <v>0</v>
      </c>
      <c r="D136" s="1274">
        <v>-2880</v>
      </c>
      <c r="E136" s="1274">
        <v>-2880</v>
      </c>
      <c r="F136" s="708" t="s">
        <v>2006</v>
      </c>
      <c r="G136" s="708" t="s">
        <v>2360</v>
      </c>
      <c r="H136" s="709" t="s">
        <v>3000</v>
      </c>
      <c r="I136" s="710"/>
      <c r="J136" s="710"/>
      <c r="K136" s="710"/>
      <c r="L136" s="149" t="str">
        <f t="shared" si="10"/>
        <v>454</v>
      </c>
      <c r="M136" s="150" t="str">
        <f t="shared" si="11"/>
        <v>VTE - CONT ENTRET USAGE BMW AUTO</v>
      </c>
      <c r="N136" s="151">
        <f>+IF(OR($Q136=Parametres!$G$2,$Q136=Parametres!$G$3),I136,C136)</f>
        <v>0</v>
      </c>
      <c r="O136" s="151">
        <f>+IF(OR($Q136=Parametres!$G$2,$Q136=Parametres!$G$3),J136,D136)</f>
        <v>-2880</v>
      </c>
      <c r="P136" s="151">
        <f>+IF(OR($Q136=Parametres!$G$2,$Q136=Parametres!$G$3),K136,E136)</f>
        <v>-2880</v>
      </c>
      <c r="Q136" s="150" t="str">
        <f t="shared" si="12"/>
        <v>5-Ventes</v>
      </c>
      <c r="R136" s="149" t="str">
        <f t="shared" si="13"/>
        <v>454</v>
      </c>
      <c r="S136" s="150" t="str">
        <f t="shared" si="14"/>
        <v>_</v>
      </c>
      <c r="T136" s="152" t="str">
        <f>+VLOOKUP($L136,Data_Validation!$A:$D,1,0)</f>
        <v>454</v>
      </c>
      <c r="U136" s="152" t="str">
        <f>+VLOOKUP($L136,Data_Validation!$A:$D,3,0)</f>
        <v>Véhicules usagés</v>
      </c>
      <c r="V136" s="152" t="str">
        <f>+VLOOKUP($L136,Data_Validation!$A:$D,4,0)</f>
        <v>Rev. Protections</v>
      </c>
      <c r="W136" s="152" t="str">
        <f>+VLOOKUP($L136,Data_Validation!$A:$E,5,0)</f>
        <v>$</v>
      </c>
      <c r="X136" s="152" t="str">
        <f>+VLOOKUP($L136,Data_Validation!$A:$F,6,0)</f>
        <v>OUI</v>
      </c>
    </row>
    <row r="137" spans="1:24" ht="15" customHeight="1">
      <c r="A137" s="708" t="s">
        <v>2145</v>
      </c>
      <c r="B137" s="708" t="s">
        <v>2146</v>
      </c>
      <c r="C137" s="710">
        <v>0</v>
      </c>
      <c r="D137" s="710">
        <v>-1519</v>
      </c>
      <c r="E137" s="710">
        <v>-1519</v>
      </c>
      <c r="F137" s="708" t="s">
        <v>2006</v>
      </c>
      <c r="G137" s="708" t="s">
        <v>2360</v>
      </c>
      <c r="H137" s="664" t="s">
        <v>3000</v>
      </c>
      <c r="I137" s="663"/>
      <c r="J137" s="663"/>
      <c r="K137" s="663"/>
      <c r="L137" s="149" t="str">
        <f t="shared" si="10"/>
        <v>454A</v>
      </c>
      <c r="M137" s="150" t="str">
        <f t="shared" si="11"/>
        <v>VTES -CONT ENTRET USAGE BMW NON-CERT</v>
      </c>
      <c r="N137" s="151">
        <f>+IF(OR($Q137=Parametres!$G$2,$Q137=Parametres!$G$3),I137,C137)</f>
        <v>0</v>
      </c>
      <c r="O137" s="151">
        <f>+IF(OR($Q137=Parametres!$G$2,$Q137=Parametres!$G$3),J137,D137)</f>
        <v>-1519</v>
      </c>
      <c r="P137" s="151">
        <f>+IF(OR($Q137=Parametres!$G$2,$Q137=Parametres!$G$3),K137,E137)</f>
        <v>-1519</v>
      </c>
      <c r="Q137" s="150" t="str">
        <f t="shared" si="12"/>
        <v>5-Ventes</v>
      </c>
      <c r="R137" s="149" t="str">
        <f t="shared" si="13"/>
        <v>454</v>
      </c>
      <c r="S137" s="150" t="str">
        <f t="shared" si="14"/>
        <v>_</v>
      </c>
      <c r="T137" s="152" t="str">
        <f>+VLOOKUP($L137,Data_Validation!$A:$D,1,0)</f>
        <v>454A</v>
      </c>
      <c r="U137" s="152" t="str">
        <f>+VLOOKUP($L137,Data_Validation!$A:$D,3,0)</f>
        <v>Véhicules usagés</v>
      </c>
      <c r="V137" s="152" t="str">
        <f>+VLOOKUP($L137,Data_Validation!$A:$D,4,0)</f>
        <v>Rev. Protections</v>
      </c>
      <c r="W137" s="152" t="str">
        <f>+VLOOKUP($L137,Data_Validation!$A:$E,5,0)</f>
        <v>$</v>
      </c>
      <c r="X137" s="152" t="str">
        <f>+VLOOKUP($L137,Data_Validation!$A:$F,6,0)</f>
        <v>oui</v>
      </c>
    </row>
    <row r="138" spans="1:24" ht="15" customHeight="1">
      <c r="A138" s="708" t="s">
        <v>2066</v>
      </c>
      <c r="B138" s="708" t="s">
        <v>2067</v>
      </c>
      <c r="C138" s="710">
        <v>0</v>
      </c>
      <c r="D138" s="710">
        <v>-1605</v>
      </c>
      <c r="E138" s="710">
        <v>-1605</v>
      </c>
      <c r="F138" s="708" t="s">
        <v>2006</v>
      </c>
      <c r="G138" s="708" t="s">
        <v>1012</v>
      </c>
      <c r="H138" s="664" t="s">
        <v>3000</v>
      </c>
      <c r="I138" s="663"/>
      <c r="J138" s="663"/>
      <c r="K138" s="663"/>
      <c r="L138" s="149" t="str">
        <f t="shared" si="10"/>
        <v>454E</v>
      </c>
      <c r="M138" s="150" t="str">
        <f t="shared" si="11"/>
        <v>VTES -PROTEC ESTHETIQUE USAGE BMW NON-CERT</v>
      </c>
      <c r="N138" s="151">
        <f>+IF(OR($Q138=Parametres!$G$2,$Q138=Parametres!$G$3),I138,C138)</f>
        <v>0</v>
      </c>
      <c r="O138" s="497">
        <f>+IF(OR($Q138=Parametres!$G$2,$Q138=Parametres!$G$3),J138,D138)</f>
        <v>-1605</v>
      </c>
      <c r="P138" s="151">
        <f>+IF(OR($Q138=Parametres!$G$2,$Q138=Parametres!$G$3),K138,E138)</f>
        <v>-1605</v>
      </c>
      <c r="Q138" s="150" t="str">
        <f t="shared" si="12"/>
        <v>5-Ventes</v>
      </c>
      <c r="R138" s="149" t="str">
        <f t="shared" si="13"/>
        <v>450</v>
      </c>
      <c r="S138" s="150" t="str">
        <f t="shared" si="14"/>
        <v>_</v>
      </c>
      <c r="T138" s="152" t="str">
        <f>+VLOOKUP($L138,Data_Validation!$A:$D,1,0)</f>
        <v>454E</v>
      </c>
      <c r="U138" s="152" t="str">
        <f>+VLOOKUP($L138,Data_Validation!$A:$D,3,0)</f>
        <v>Véhicules usagés</v>
      </c>
      <c r="V138" s="152" t="str">
        <f>+VLOOKUP($L138,Data_Validation!$A:$D,4,0)</f>
        <v>Rev. Protections</v>
      </c>
      <c r="W138" s="152" t="str">
        <f>+VLOOKUP($L138,Data_Validation!$A:$E,5,0)</f>
        <v>$</v>
      </c>
      <c r="X138" s="152" t="str">
        <f>+VLOOKUP($L138,Data_Validation!$A:$F,6,0)</f>
        <v>Oui</v>
      </c>
    </row>
    <row r="139" spans="1:24" ht="15.75" customHeight="1">
      <c r="A139" s="708" t="s">
        <v>1951</v>
      </c>
      <c r="B139" s="708" t="s">
        <v>1952</v>
      </c>
      <c r="C139" s="710">
        <v>0</v>
      </c>
      <c r="D139" s="710">
        <v>-1229.01</v>
      </c>
      <c r="E139" s="710">
        <v>-1229.01</v>
      </c>
      <c r="F139" s="708" t="s">
        <v>2006</v>
      </c>
      <c r="G139" s="708" t="s">
        <v>1012</v>
      </c>
      <c r="H139" s="664" t="s">
        <v>3000</v>
      </c>
      <c r="I139" s="664"/>
      <c r="J139" s="664"/>
      <c r="K139" s="664"/>
      <c r="L139" s="149" t="str">
        <f t="shared" si="10"/>
        <v>454F</v>
      </c>
      <c r="M139" s="150" t="str">
        <f t="shared" si="11"/>
        <v>VTES -RIST FINANCE USAGE BMW NON-CERT</v>
      </c>
      <c r="N139" s="151">
        <f>+IF(OR($Q139=Parametres!$G$2,$Q139=Parametres!$G$3),I139,C139)</f>
        <v>0</v>
      </c>
      <c r="O139" s="151">
        <f>+IF(OR($Q139=Parametres!$G$2,$Q139=Parametres!$G$3),J139,D139)</f>
        <v>-1229.01</v>
      </c>
      <c r="P139" s="151">
        <f>+IF(OR($Q139=Parametres!$G$2,$Q139=Parametres!$G$3),K139,E139)</f>
        <v>-1229.01</v>
      </c>
      <c r="Q139" s="150" t="str">
        <f t="shared" si="12"/>
        <v>5-Ventes</v>
      </c>
      <c r="R139" s="149" t="str">
        <f t="shared" si="13"/>
        <v>450</v>
      </c>
      <c r="S139" s="150" t="str">
        <f t="shared" si="14"/>
        <v>_</v>
      </c>
      <c r="T139" s="152" t="str">
        <f>+VLOOKUP($L139,Data_Validation!$A:$D,1,0)</f>
        <v>454F</v>
      </c>
      <c r="U139" s="152" t="str">
        <f>+VLOOKUP($L139,Data_Validation!$A:$D,3,0)</f>
        <v>Véhicules usagés</v>
      </c>
      <c r="V139" s="152" t="str">
        <f>+VLOOKUP($L139,Data_Validation!$A:$D,4,0)</f>
        <v>Rev. Finances</v>
      </c>
      <c r="W139" s="152" t="str">
        <f>+VLOOKUP($L139,Data_Validation!$A:$E,5,0)</f>
        <v>$</v>
      </c>
      <c r="X139" s="152" t="str">
        <f>+VLOOKUP($L139,Data_Validation!$A:$F,6,0)</f>
        <v>Oui</v>
      </c>
    </row>
    <row r="140" spans="1:24" ht="15" customHeight="1">
      <c r="A140" s="708" t="s">
        <v>1953</v>
      </c>
      <c r="B140" s="708" t="s">
        <v>1954</v>
      </c>
      <c r="C140" s="710">
        <v>0</v>
      </c>
      <c r="D140" s="710">
        <v>-798</v>
      </c>
      <c r="E140" s="710">
        <v>-798</v>
      </c>
      <c r="F140" s="708" t="s">
        <v>2006</v>
      </c>
      <c r="G140" s="708" t="s">
        <v>1012</v>
      </c>
      <c r="H140" s="664" t="s">
        <v>3000</v>
      </c>
      <c r="I140" s="663"/>
      <c r="J140" s="663"/>
      <c r="K140" s="663"/>
      <c r="L140" s="149" t="str">
        <f t="shared" si="10"/>
        <v>454M</v>
      </c>
      <c r="M140" s="150" t="str">
        <f t="shared" si="11"/>
        <v>VTES -MARQUAGE USAGE BMW NON-CERT</v>
      </c>
      <c r="N140" s="151">
        <f>+IF(OR($Q140=Parametres!$G$2,$Q140=Parametres!$G$3),I140,C140)</f>
        <v>0</v>
      </c>
      <c r="O140" s="151">
        <f>+IF(OR($Q140=Parametres!$G$2,$Q140=Parametres!$G$3),J140,D140)</f>
        <v>-798</v>
      </c>
      <c r="P140" s="151">
        <f>+IF(OR($Q140=Parametres!$G$2,$Q140=Parametres!$G$3),K140,E140)</f>
        <v>-798</v>
      </c>
      <c r="Q140" s="150" t="str">
        <f t="shared" si="12"/>
        <v>5-Ventes</v>
      </c>
      <c r="R140" s="149" t="str">
        <f t="shared" si="13"/>
        <v>450</v>
      </c>
      <c r="S140" s="150" t="str">
        <f t="shared" si="14"/>
        <v>_</v>
      </c>
      <c r="T140" s="152" t="str">
        <f>+VLOOKUP($L140,Data_Validation!$A:$D,1,0)</f>
        <v>454M</v>
      </c>
      <c r="U140" s="152" t="str">
        <f>+VLOOKUP($L140,Data_Validation!$A:$D,3,0)</f>
        <v>Véhicules usagés</v>
      </c>
      <c r="V140" s="152" t="str">
        <f>+VLOOKUP($L140,Data_Validation!$A:$D,4,0)</f>
        <v>Rev. Protections</v>
      </c>
      <c r="W140" s="152" t="str">
        <f>+VLOOKUP($L140,Data_Validation!$A:$E,5,0)</f>
        <v>$</v>
      </c>
      <c r="X140" s="152" t="str">
        <f>+VLOOKUP($L140,Data_Validation!$A:$F,6,0)</f>
        <v>Oui</v>
      </c>
    </row>
    <row r="141" spans="1:24" ht="15" customHeight="1">
      <c r="A141" s="708" t="s">
        <v>1178</v>
      </c>
      <c r="B141" s="708" t="s">
        <v>450</v>
      </c>
      <c r="C141" s="709">
        <v>0</v>
      </c>
      <c r="D141" s="1274">
        <v>-1650.91</v>
      </c>
      <c r="E141" s="1274">
        <v>-1650.91</v>
      </c>
      <c r="F141" s="708" t="s">
        <v>2006</v>
      </c>
      <c r="G141" s="708" t="s">
        <v>450</v>
      </c>
      <c r="H141" s="709" t="s">
        <v>3000</v>
      </c>
      <c r="I141" s="710"/>
      <c r="J141" s="710"/>
      <c r="K141" s="710"/>
      <c r="L141" s="149" t="str">
        <f t="shared" si="10"/>
        <v>459A</v>
      </c>
      <c r="M141" s="150" t="str">
        <f t="shared" si="11"/>
        <v>VTE - BMW SPA PROGRAMME</v>
      </c>
      <c r="N141" s="151">
        <f>+IF(OR($Q141=Parametres!$G$2,$Q141=Parametres!$G$3),I141,C141)</f>
        <v>0</v>
      </c>
      <c r="O141" s="151">
        <f>+IF(OR($Q141=Parametres!$G$2,$Q141=Parametres!$G$3),J141,D141)</f>
        <v>-1650.91</v>
      </c>
      <c r="P141" s="151">
        <f>+IF(OR($Q141=Parametres!$G$2,$Q141=Parametres!$G$3),K141,E141)</f>
        <v>-1650.91</v>
      </c>
      <c r="Q141" s="150" t="str">
        <f t="shared" si="12"/>
        <v>5-Ventes</v>
      </c>
      <c r="R141" s="149" t="str">
        <f t="shared" si="13"/>
        <v>459A</v>
      </c>
      <c r="S141" s="150" t="str">
        <f t="shared" si="14"/>
        <v>_</v>
      </c>
      <c r="T141" s="152" t="str">
        <f>+VLOOKUP($L141,Data_Validation!$A:$D,1,0)</f>
        <v>459A</v>
      </c>
      <c r="U141" s="152" t="str">
        <f>+VLOOKUP($L141,Data_Validation!$A:$D,3,0)</f>
        <v>service</v>
      </c>
      <c r="V141" s="152" t="str">
        <f>+VLOOKUP($L141,Data_Validation!$A:$D,4,0)</f>
        <v>M/O Esthétique</v>
      </c>
      <c r="W141" s="152" t="str">
        <f>+VLOOKUP($L141,Data_Validation!$A:$E,5,0)</f>
        <v>$</v>
      </c>
      <c r="X141" s="152" t="str">
        <f>+VLOOKUP($L141,Data_Validation!$A:$F,6,0)</f>
        <v>Oui</v>
      </c>
    </row>
    <row r="142" spans="1:24" ht="15" customHeight="1">
      <c r="A142" s="708" t="s">
        <v>2189</v>
      </c>
      <c r="B142" s="708" t="s">
        <v>2190</v>
      </c>
      <c r="C142" s="709">
        <v>0</v>
      </c>
      <c r="D142" s="1274">
        <v>-299.95</v>
      </c>
      <c r="E142" s="1274">
        <v>-299.95</v>
      </c>
      <c r="F142" s="708" t="s">
        <v>2006</v>
      </c>
      <c r="G142" s="708" t="s">
        <v>2416</v>
      </c>
      <c r="H142" s="709" t="s">
        <v>3000</v>
      </c>
      <c r="I142" s="710"/>
      <c r="J142" s="710"/>
      <c r="K142" s="710"/>
      <c r="L142" s="149" t="str">
        <f t="shared" si="10"/>
        <v>459B</v>
      </c>
      <c r="M142" s="150" t="str">
        <f t="shared" si="11"/>
        <v>VTES -VTE - SUBLET ESTHETIQUE</v>
      </c>
      <c r="N142" s="151">
        <f>+IF(OR($Q142=Parametres!$G$2,$Q142=Parametres!$G$3),I142,C142)</f>
        <v>0</v>
      </c>
      <c r="O142" s="497">
        <f>+IF(OR($Q142=Parametres!$G$2,$Q142=Parametres!$G$3),J142,D142)</f>
        <v>-299.95</v>
      </c>
      <c r="P142" s="151">
        <f>+IF(OR($Q142=Parametres!$G$2,$Q142=Parametres!$G$3),K142,E142)</f>
        <v>-299.95</v>
      </c>
      <c r="Q142" s="150" t="str">
        <f t="shared" si="12"/>
        <v>5-Ventes</v>
      </c>
      <c r="R142" s="149" t="str">
        <f t="shared" si="13"/>
        <v>459</v>
      </c>
      <c r="S142" s="150" t="str">
        <f t="shared" si="14"/>
        <v>_</v>
      </c>
      <c r="T142" s="152" t="str">
        <f>+VLOOKUP($L142,Data_Validation!$A:$D,1,0)</f>
        <v>459B</v>
      </c>
      <c r="U142" s="152" t="str">
        <f>+VLOOKUP($L142,Data_Validation!$A:$D,3,0)</f>
        <v>Service</v>
      </c>
      <c r="V142" s="152" t="str">
        <f>+VLOOKUP($L142,Data_Validation!$A:$D,4,0)</f>
        <v>M/O Esthétique</v>
      </c>
      <c r="W142" s="152" t="str">
        <f>+VLOOKUP($L142,Data_Validation!$A:$E,5,0)</f>
        <v>$</v>
      </c>
      <c r="X142" s="152" t="str">
        <f>+VLOOKUP($L142,Data_Validation!$A:$F,6,0)</f>
        <v>OUI</v>
      </c>
    </row>
    <row r="143" spans="1:24" ht="15.75" customHeight="1">
      <c r="A143" s="708" t="s">
        <v>1115</v>
      </c>
      <c r="B143" s="708" t="s">
        <v>1116</v>
      </c>
      <c r="C143" s="710">
        <v>0</v>
      </c>
      <c r="D143" s="710">
        <v>-18488.8</v>
      </c>
      <c r="E143" s="710">
        <v>-18488.8</v>
      </c>
      <c r="F143" s="708" t="s">
        <v>2006</v>
      </c>
      <c r="G143" s="708" t="s">
        <v>1116</v>
      </c>
      <c r="H143" s="657" t="s">
        <v>3000</v>
      </c>
      <c r="I143" s="656"/>
      <c r="J143" s="656"/>
      <c r="K143" s="656"/>
      <c r="L143" s="149" t="str">
        <f t="shared" si="10"/>
        <v>460A</v>
      </c>
      <c r="M143" s="150" t="str">
        <f t="shared" si="11"/>
        <v>VTE - M/O CLIENT BMW AUTO</v>
      </c>
      <c r="N143" s="151">
        <f>+IF(OR($Q143=Parametres!$G$2,$Q143=Parametres!$G$3),I143,C143)</f>
        <v>0</v>
      </c>
      <c r="O143" s="151">
        <f>+IF(OR($Q143=Parametres!$G$2,$Q143=Parametres!$G$3),J143,D143)</f>
        <v>-18488.8</v>
      </c>
      <c r="P143" s="151">
        <f>+IF(OR($Q143=Parametres!$G$2,$Q143=Parametres!$G$3),K143,E143)</f>
        <v>-18488.8</v>
      </c>
      <c r="Q143" s="150" t="str">
        <f t="shared" si="12"/>
        <v>5-Ventes</v>
      </c>
      <c r="R143" s="149" t="str">
        <f t="shared" si="13"/>
        <v>460A</v>
      </c>
      <c r="S143" s="150" t="str">
        <f t="shared" si="14"/>
        <v>_</v>
      </c>
      <c r="T143" s="152" t="str">
        <f>+VLOOKUP($L143,Data_Validation!$A:$D,1,0)</f>
        <v>460A</v>
      </c>
      <c r="U143" s="152" t="str">
        <f>+VLOOKUP($L143,Data_Validation!$A:$D,3,0)</f>
        <v>service</v>
      </c>
      <c r="V143" s="152" t="str">
        <f>+VLOOKUP($L143,Data_Validation!$A:$D,4,0)</f>
        <v>M/O Client</v>
      </c>
      <c r="W143" s="152" t="str">
        <f>+VLOOKUP($L143,Data_Validation!$A:$E,5,0)</f>
        <v>$</v>
      </c>
      <c r="X143" s="152" t="str">
        <f>+VLOOKUP($L143,Data_Validation!$A:$F,6,0)</f>
        <v>Oui</v>
      </c>
    </row>
    <row r="144" spans="1:24" ht="15" customHeight="1">
      <c r="A144" s="708" t="s">
        <v>1129</v>
      </c>
      <c r="B144" s="708" t="s">
        <v>415</v>
      </c>
      <c r="C144" s="710">
        <v>0</v>
      </c>
      <c r="D144" s="710">
        <v>-22867.4</v>
      </c>
      <c r="E144" s="710">
        <v>-22867.4</v>
      </c>
      <c r="F144" s="708" t="s">
        <v>2006</v>
      </c>
      <c r="G144" s="708" t="s">
        <v>1116</v>
      </c>
      <c r="H144" s="664" t="s">
        <v>3000</v>
      </c>
      <c r="I144" s="663"/>
      <c r="J144" s="663"/>
      <c r="K144" s="663"/>
      <c r="L144" s="149" t="str">
        <f t="shared" si="10"/>
        <v>460B</v>
      </c>
      <c r="M144" s="150" t="str">
        <f t="shared" si="11"/>
        <v>VTE - M/O CLIENT BMW CAMION</v>
      </c>
      <c r="N144" s="151">
        <f>+IF(OR($Q144=Parametres!$G$2,$Q144=Parametres!$G$3),I144,C144)</f>
        <v>0</v>
      </c>
      <c r="O144" s="151">
        <f>+IF(OR($Q144=Parametres!$G$2,$Q144=Parametres!$G$3),J144,D144)</f>
        <v>-22867.4</v>
      </c>
      <c r="P144" s="151">
        <f>+IF(OR($Q144=Parametres!$G$2,$Q144=Parametres!$G$3),K144,E144)</f>
        <v>-22867.4</v>
      </c>
      <c r="Q144" s="150" t="str">
        <f t="shared" si="12"/>
        <v>5-Ventes</v>
      </c>
      <c r="R144" s="149" t="str">
        <f t="shared" si="13"/>
        <v>460A</v>
      </c>
      <c r="S144" s="150" t="str">
        <f t="shared" si="14"/>
        <v>_</v>
      </c>
      <c r="T144" s="152" t="str">
        <f>+VLOOKUP($L144,Data_Validation!$A:$D,1,0)</f>
        <v>460B</v>
      </c>
      <c r="U144" s="152" t="str">
        <f>+VLOOKUP($L144,Data_Validation!$A:$D,3,0)</f>
        <v>service</v>
      </c>
      <c r="V144" s="152" t="str">
        <f>+VLOOKUP($L144,Data_Validation!$A:$D,4,0)</f>
        <v>M/O Client</v>
      </c>
      <c r="W144" s="152" t="str">
        <f>+VLOOKUP($L144,Data_Validation!$A:$E,5,0)</f>
        <v>$</v>
      </c>
      <c r="X144" s="152" t="str">
        <f>+VLOOKUP($L144,Data_Validation!$A:$F,6,0)</f>
        <v>Oui</v>
      </c>
    </row>
    <row r="145" spans="1:24" ht="15" customHeight="1">
      <c r="A145" s="708" t="s">
        <v>1013</v>
      </c>
      <c r="B145" s="708" t="s">
        <v>458</v>
      </c>
      <c r="C145" s="710">
        <v>0</v>
      </c>
      <c r="D145" s="710">
        <v>-2286.34</v>
      </c>
      <c r="E145" s="710">
        <v>-2286.34</v>
      </c>
      <c r="F145" s="708" t="s">
        <v>2006</v>
      </c>
      <c r="G145" s="708" t="s">
        <v>1116</v>
      </c>
      <c r="H145" s="664" t="s">
        <v>3000</v>
      </c>
      <c r="I145" s="663"/>
      <c r="J145" s="663"/>
      <c r="K145" s="663"/>
      <c r="L145" s="149" t="str">
        <f t="shared" si="10"/>
        <v>460D</v>
      </c>
      <c r="M145" s="150" t="str">
        <f t="shared" si="11"/>
        <v>VTE - M/O CLIENT BMW I</v>
      </c>
      <c r="N145" s="151">
        <f>+IF(OR($Q145=Parametres!$G$2,$Q145=Parametres!$G$3),I145,C145)</f>
        <v>0</v>
      </c>
      <c r="O145" s="151">
        <f>+IF(OR($Q145=Parametres!$G$2,$Q145=Parametres!$G$3),J145,D145)</f>
        <v>-2286.34</v>
      </c>
      <c r="P145" s="151">
        <f>+IF(OR($Q145=Parametres!$G$2,$Q145=Parametres!$G$3),K145,E145)</f>
        <v>-2286.34</v>
      </c>
      <c r="Q145" s="150" t="str">
        <f t="shared" si="12"/>
        <v>5-Ventes</v>
      </c>
      <c r="R145" s="149" t="str">
        <f t="shared" si="13"/>
        <v>460A</v>
      </c>
      <c r="S145" s="150" t="str">
        <f t="shared" si="14"/>
        <v>_</v>
      </c>
      <c r="T145" s="152" t="str">
        <f>+VLOOKUP($L145,Data_Validation!$A:$D,1,0)</f>
        <v>460D</v>
      </c>
      <c r="U145" s="152" t="str">
        <f>+VLOOKUP($L145,Data_Validation!$A:$D,3,0)</f>
        <v>service</v>
      </c>
      <c r="V145" s="152" t="str">
        <f>+VLOOKUP($L145,Data_Validation!$A:$D,4,0)</f>
        <v>M/O Client</v>
      </c>
      <c r="W145" s="152" t="str">
        <f>+VLOOKUP($L145,Data_Validation!$A:$E,5,0)</f>
        <v>$</v>
      </c>
      <c r="X145" s="152" t="str">
        <f>+VLOOKUP($L145,Data_Validation!$A:$F,6,0)</f>
        <v>Oui</v>
      </c>
    </row>
    <row r="146" spans="1:24" ht="15" customHeight="1">
      <c r="A146" s="708" t="s">
        <v>1127</v>
      </c>
      <c r="B146" s="708" t="s">
        <v>1110</v>
      </c>
      <c r="C146" s="710">
        <v>0</v>
      </c>
      <c r="D146" s="710">
        <v>-5811.96</v>
      </c>
      <c r="E146" s="710">
        <v>-5811.96</v>
      </c>
      <c r="F146" s="708" t="s">
        <v>2006</v>
      </c>
      <c r="G146" s="708" t="s">
        <v>1110</v>
      </c>
      <c r="H146" s="664" t="s">
        <v>3000</v>
      </c>
      <c r="I146" s="663"/>
      <c r="J146" s="663"/>
      <c r="K146" s="663"/>
      <c r="L146" s="149" t="str">
        <f t="shared" si="10"/>
        <v>461A</v>
      </c>
      <c r="M146" s="150" t="str">
        <f t="shared" si="11"/>
        <v>VTE - M/O GARANTIE BMW AUTO</v>
      </c>
      <c r="N146" s="151">
        <f>+IF(OR($Q146=Parametres!$G$2,$Q146=Parametres!$G$3),I146,C146)</f>
        <v>0</v>
      </c>
      <c r="O146" s="151">
        <f>+IF(OR($Q146=Parametres!$G$2,$Q146=Parametres!$G$3),J146,D146)</f>
        <v>-5811.96</v>
      </c>
      <c r="P146" s="151">
        <f>+IF(OR($Q146=Parametres!$G$2,$Q146=Parametres!$G$3),K146,E146)</f>
        <v>-5811.96</v>
      </c>
      <c r="Q146" s="150" t="str">
        <f t="shared" si="12"/>
        <v>5-Ventes</v>
      </c>
      <c r="R146" s="149" t="str">
        <f t="shared" si="13"/>
        <v>461A</v>
      </c>
      <c r="S146" s="150" t="str">
        <f t="shared" si="14"/>
        <v>_</v>
      </c>
      <c r="T146" s="152" t="str">
        <f>+VLOOKUP($L146,Data_Validation!$A:$D,1,0)</f>
        <v>461A</v>
      </c>
      <c r="U146" s="152" t="str">
        <f>+VLOOKUP($L146,Data_Validation!$A:$D,3,0)</f>
        <v>service</v>
      </c>
      <c r="V146" s="152" t="str">
        <f>+VLOOKUP($L146,Data_Validation!$A:$D,4,0)</f>
        <v>M/O Garantie</v>
      </c>
      <c r="W146" s="152" t="str">
        <f>+VLOOKUP($L146,Data_Validation!$A:$E,5,0)</f>
        <v>$</v>
      </c>
      <c r="X146" s="152" t="str">
        <f>+VLOOKUP($L146,Data_Validation!$A:$F,6,0)</f>
        <v>Oui</v>
      </c>
    </row>
    <row r="147" spans="1:24" ht="15" customHeight="1">
      <c r="A147" s="708" t="s">
        <v>1109</v>
      </c>
      <c r="B147" s="708" t="s">
        <v>436</v>
      </c>
      <c r="C147" s="710">
        <v>0</v>
      </c>
      <c r="D147" s="710">
        <v>-6495.72</v>
      </c>
      <c r="E147" s="710">
        <v>-6495.72</v>
      </c>
      <c r="F147" s="708" t="s">
        <v>2006</v>
      </c>
      <c r="G147" s="708" t="s">
        <v>1110</v>
      </c>
      <c r="H147" s="664" t="s">
        <v>3000</v>
      </c>
      <c r="I147" s="663"/>
      <c r="J147" s="663"/>
      <c r="K147" s="663"/>
      <c r="L147" s="149" t="str">
        <f t="shared" si="10"/>
        <v>461B</v>
      </c>
      <c r="M147" s="150" t="str">
        <f t="shared" si="11"/>
        <v>VTE - M/O GARANTIE BMW CAMION</v>
      </c>
      <c r="N147" s="151">
        <f>+IF(OR($Q147=Parametres!$G$2,$Q147=Parametres!$G$3),I147,C147)</f>
        <v>0</v>
      </c>
      <c r="O147" s="497">
        <f>+IF(OR($Q147=Parametres!$G$2,$Q147=Parametres!$G$3),J147,D147)</f>
        <v>-6495.72</v>
      </c>
      <c r="P147" s="151">
        <f>+IF(OR($Q147=Parametres!$G$2,$Q147=Parametres!$G$3),K147,E147)</f>
        <v>-6495.72</v>
      </c>
      <c r="Q147" s="150" t="str">
        <f t="shared" si="12"/>
        <v>5-Ventes</v>
      </c>
      <c r="R147" s="149" t="str">
        <f t="shared" si="13"/>
        <v>461A</v>
      </c>
      <c r="S147" s="150" t="str">
        <f t="shared" si="14"/>
        <v>_</v>
      </c>
      <c r="T147" s="152" t="str">
        <f>+VLOOKUP($L147,Data_Validation!$A:$D,1,0)</f>
        <v>461B</v>
      </c>
      <c r="U147" s="152" t="str">
        <f>+VLOOKUP($L147,Data_Validation!$A:$D,3,0)</f>
        <v>service</v>
      </c>
      <c r="V147" s="152" t="str">
        <f>+VLOOKUP($L147,Data_Validation!$A:$D,4,0)</f>
        <v>M/O Garantie</v>
      </c>
      <c r="W147" s="152" t="str">
        <f>+VLOOKUP($L147,Data_Validation!$A:$E,5,0)</f>
        <v>$</v>
      </c>
      <c r="X147" s="152" t="str">
        <f>+VLOOKUP($L147,Data_Validation!$A:$F,6,0)</f>
        <v>Oui</v>
      </c>
    </row>
    <row r="148" spans="1:24" ht="15" customHeight="1">
      <c r="A148" s="708" t="s">
        <v>1160</v>
      </c>
      <c r="B148" s="708" t="s">
        <v>441</v>
      </c>
      <c r="C148" s="710">
        <v>0</v>
      </c>
      <c r="D148" s="710">
        <v>-545.29999999999995</v>
      </c>
      <c r="E148" s="710">
        <v>-545.29999999999995</v>
      </c>
      <c r="F148" s="708" t="s">
        <v>2006</v>
      </c>
      <c r="G148" s="708" t="s">
        <v>441</v>
      </c>
      <c r="H148" s="664" t="s">
        <v>3000</v>
      </c>
      <c r="I148" s="664"/>
      <c r="J148" s="664"/>
      <c r="K148" s="664"/>
      <c r="L148" s="149" t="str">
        <f t="shared" si="10"/>
        <v>461D</v>
      </c>
      <c r="M148" s="150" t="str">
        <f t="shared" si="11"/>
        <v>VTE - M/O ENTRETIEN BMW AUTO</v>
      </c>
      <c r="N148" s="151">
        <f>+IF(OR($Q148=Parametres!$G$2,$Q148=Parametres!$G$3),I148,C148)</f>
        <v>0</v>
      </c>
      <c r="O148" s="497">
        <f>+IF(OR($Q148=Parametres!$G$2,$Q148=Parametres!$G$3),J148,D148)</f>
        <v>-545.29999999999995</v>
      </c>
      <c r="P148" s="151">
        <f>+IF(OR($Q148=Parametres!$G$2,$Q148=Parametres!$G$3),K148,E148)</f>
        <v>-545.29999999999995</v>
      </c>
      <c r="Q148" s="150" t="str">
        <f t="shared" si="12"/>
        <v>5-Ventes</v>
      </c>
      <c r="R148" s="149" t="str">
        <f t="shared" si="13"/>
        <v>461D</v>
      </c>
      <c r="S148" s="150" t="str">
        <f t="shared" si="14"/>
        <v>_</v>
      </c>
      <c r="T148" s="152" t="str">
        <f>+VLOOKUP($L148,Data_Validation!$A:$D,1,0)</f>
        <v>461D</v>
      </c>
      <c r="U148" s="152" t="str">
        <f>+VLOOKUP($L148,Data_Validation!$A:$D,3,0)</f>
        <v>service</v>
      </c>
      <c r="V148" s="152" t="str">
        <f>+VLOOKUP($L148,Data_Validation!$A:$D,4,0)</f>
        <v>M/O Garantie</v>
      </c>
      <c r="W148" s="152" t="str">
        <f>+VLOOKUP($L148,Data_Validation!$A:$E,5,0)</f>
        <v>$</v>
      </c>
      <c r="X148" s="152" t="str">
        <f>+VLOOKUP($L148,Data_Validation!$A:$F,6,0)</f>
        <v>Oui</v>
      </c>
    </row>
    <row r="149" spans="1:24" ht="15" customHeight="1">
      <c r="A149" s="708" t="s">
        <v>1141</v>
      </c>
      <c r="B149" s="708" t="s">
        <v>435</v>
      </c>
      <c r="C149" s="710">
        <v>0</v>
      </c>
      <c r="D149" s="710">
        <v>-5381.25</v>
      </c>
      <c r="E149" s="710">
        <v>-5381.25</v>
      </c>
      <c r="F149" s="708" t="s">
        <v>2006</v>
      </c>
      <c r="G149" s="708" t="s">
        <v>441</v>
      </c>
      <c r="H149" s="664" t="s">
        <v>3000</v>
      </c>
      <c r="I149" s="664"/>
      <c r="J149" s="664"/>
      <c r="K149" s="664"/>
      <c r="L149" s="149" t="str">
        <f t="shared" si="10"/>
        <v>461E</v>
      </c>
      <c r="M149" s="150" t="str">
        <f t="shared" si="11"/>
        <v>VTE - M/O ENTRETIEN BMW CAMION</v>
      </c>
      <c r="N149" s="151">
        <f>+IF(OR($Q149=Parametres!$G$2,$Q149=Parametres!$G$3),I149,C149)</f>
        <v>0</v>
      </c>
      <c r="O149" s="151">
        <f>+IF(OR($Q149=Parametres!$G$2,$Q149=Parametres!$G$3),J149,D149)</f>
        <v>-5381.25</v>
      </c>
      <c r="P149" s="151">
        <f>+IF(OR($Q149=Parametres!$G$2,$Q149=Parametres!$G$3),K149,E149)</f>
        <v>-5381.25</v>
      </c>
      <c r="Q149" s="150" t="str">
        <f t="shared" si="12"/>
        <v>5-Ventes</v>
      </c>
      <c r="R149" s="149" t="str">
        <f t="shared" si="13"/>
        <v>461D</v>
      </c>
      <c r="S149" s="150" t="str">
        <f t="shared" si="14"/>
        <v>_</v>
      </c>
      <c r="T149" s="152" t="str">
        <f>+VLOOKUP($L149,Data_Validation!$A:$D,1,0)</f>
        <v>461E</v>
      </c>
      <c r="U149" s="152" t="str">
        <f>+VLOOKUP($L149,Data_Validation!$A:$D,3,0)</f>
        <v>service</v>
      </c>
      <c r="V149" s="152" t="str">
        <f>+VLOOKUP($L149,Data_Validation!$A:$D,4,0)</f>
        <v>M/O Garantie</v>
      </c>
      <c r="W149" s="152" t="str">
        <f>+VLOOKUP($L149,Data_Validation!$A:$E,5,0)</f>
        <v>$</v>
      </c>
      <c r="X149" s="152" t="str">
        <f>+VLOOKUP($L149,Data_Validation!$A:$F,6,0)</f>
        <v>Oui</v>
      </c>
    </row>
    <row r="150" spans="1:24" ht="15" customHeight="1">
      <c r="A150" s="708" t="s">
        <v>1222</v>
      </c>
      <c r="B150" s="708" t="s">
        <v>469</v>
      </c>
      <c r="C150" s="710">
        <v>0</v>
      </c>
      <c r="D150" s="710">
        <v>-373.11</v>
      </c>
      <c r="E150" s="710">
        <v>-373.11</v>
      </c>
      <c r="F150" s="708" t="s">
        <v>2006</v>
      </c>
      <c r="G150" s="708" t="s">
        <v>441</v>
      </c>
      <c r="H150" s="664" t="s">
        <v>3000</v>
      </c>
      <c r="I150" s="663"/>
      <c r="J150" s="663"/>
      <c r="K150" s="663"/>
      <c r="L150" s="149" t="str">
        <f t="shared" si="10"/>
        <v>461G</v>
      </c>
      <c r="M150" s="150" t="str">
        <f t="shared" si="11"/>
        <v>VTE - M/O ENTRETIEN BMW I</v>
      </c>
      <c r="N150" s="151">
        <f>+IF(OR($Q150=Parametres!$G$2,$Q150=Parametres!$G$3),I150,C150)</f>
        <v>0</v>
      </c>
      <c r="O150" s="151">
        <f>+IF(OR($Q150=Parametres!$G$2,$Q150=Parametres!$G$3),J150,D150)</f>
        <v>-373.11</v>
      </c>
      <c r="P150" s="151">
        <f>+IF(OR($Q150=Parametres!$G$2,$Q150=Parametres!$G$3),K150,E150)</f>
        <v>-373.11</v>
      </c>
      <c r="Q150" s="150" t="str">
        <f t="shared" si="12"/>
        <v>5-Ventes</v>
      </c>
      <c r="R150" s="149" t="str">
        <f t="shared" si="13"/>
        <v>461D</v>
      </c>
      <c r="S150" s="150" t="str">
        <f t="shared" si="14"/>
        <v>_</v>
      </c>
      <c r="T150" s="152" t="str">
        <f>+VLOOKUP($L150,Data_Validation!$A:$D,1,0)</f>
        <v>461G</v>
      </c>
      <c r="U150" s="152" t="str">
        <f>+VLOOKUP($L150,Data_Validation!$A:$D,3,0)</f>
        <v>service</v>
      </c>
      <c r="V150" s="152" t="str">
        <f>+VLOOKUP($L150,Data_Validation!$A:$D,4,0)</f>
        <v>M/O Garantie</v>
      </c>
      <c r="W150" s="152" t="str">
        <f>+VLOOKUP($L150,Data_Validation!$A:$E,5,0)</f>
        <v>$</v>
      </c>
      <c r="X150" s="152" t="str">
        <f>+VLOOKUP($L150,Data_Validation!$A:$F,6,0)</f>
        <v>Oui</v>
      </c>
    </row>
    <row r="151" spans="1:24" ht="15.75" customHeight="1">
      <c r="A151" s="708" t="s">
        <v>1225</v>
      </c>
      <c r="B151" s="708" t="s">
        <v>468</v>
      </c>
      <c r="C151" s="709">
        <v>0</v>
      </c>
      <c r="D151" s="1274">
        <v>-5360.18</v>
      </c>
      <c r="E151" s="1274">
        <v>-5360.18</v>
      </c>
      <c r="F151" s="708" t="s">
        <v>2006</v>
      </c>
      <c r="G151" s="708" t="s">
        <v>1110</v>
      </c>
      <c r="H151" s="709" t="s">
        <v>3000</v>
      </c>
      <c r="I151" s="710"/>
      <c r="J151" s="710"/>
      <c r="K151" s="710"/>
      <c r="L151" s="149" t="str">
        <f t="shared" si="10"/>
        <v>461H</v>
      </c>
      <c r="M151" s="150" t="str">
        <f t="shared" si="11"/>
        <v>VTE - M/O GARANTIE BMW</v>
      </c>
      <c r="N151" s="151">
        <f>+IF(OR($Q151=Parametres!$G$2,$Q151=Parametres!$G$3),I151,C151)</f>
        <v>0</v>
      </c>
      <c r="O151" s="497">
        <f>+IF(OR($Q151=Parametres!$G$2,$Q151=Parametres!$G$3),J151,D151)</f>
        <v>-5360.18</v>
      </c>
      <c r="P151" s="151">
        <f>+IF(OR($Q151=Parametres!$G$2,$Q151=Parametres!$G$3),K151,E151)</f>
        <v>-5360.18</v>
      </c>
      <c r="Q151" s="150" t="str">
        <f t="shared" si="12"/>
        <v>5-Ventes</v>
      </c>
      <c r="R151" s="149" t="str">
        <f t="shared" si="13"/>
        <v>461A</v>
      </c>
      <c r="S151" s="150" t="str">
        <f t="shared" si="14"/>
        <v>_</v>
      </c>
      <c r="T151" s="152" t="str">
        <f>+VLOOKUP($L151,Data_Validation!$A:$D,1,0)</f>
        <v>461H</v>
      </c>
      <c r="U151" s="152" t="str">
        <f>+VLOOKUP($L151,Data_Validation!$A:$D,3,0)</f>
        <v>service</v>
      </c>
      <c r="V151" s="152" t="str">
        <f>+VLOOKUP($L151,Data_Validation!$A:$D,4,0)</f>
        <v>M/O Garantie</v>
      </c>
      <c r="W151" s="152" t="str">
        <f>+VLOOKUP($L151,Data_Validation!$A:$E,5,0)</f>
        <v>$</v>
      </c>
      <c r="X151" s="152" t="str">
        <f>+VLOOKUP($L151,Data_Validation!$A:$F,6,0)</f>
        <v>Oui</v>
      </c>
    </row>
    <row r="152" spans="1:24" ht="15" customHeight="1">
      <c r="A152" s="708" t="s">
        <v>1140</v>
      </c>
      <c r="B152" s="708" t="s">
        <v>1139</v>
      </c>
      <c r="C152" s="710">
        <v>0</v>
      </c>
      <c r="D152" s="710">
        <v>-11731.78</v>
      </c>
      <c r="E152" s="710">
        <v>-11731.78</v>
      </c>
      <c r="F152" s="708" t="s">
        <v>2006</v>
      </c>
      <c r="G152" s="708" t="s">
        <v>1139</v>
      </c>
      <c r="H152" s="664" t="s">
        <v>3000</v>
      </c>
      <c r="I152" s="663"/>
      <c r="J152" s="663"/>
      <c r="K152" s="663"/>
      <c r="L152" s="149" t="str">
        <f t="shared" si="10"/>
        <v>462A</v>
      </c>
      <c r="M152" s="150" t="str">
        <f t="shared" si="11"/>
        <v>VTE - M/O INTERNE BMW AUTO</v>
      </c>
      <c r="N152" s="151">
        <f>+IF(OR($Q152=Parametres!$G$2,$Q152=Parametres!$G$3),I152,C152)</f>
        <v>0</v>
      </c>
      <c r="O152" s="151">
        <f>+IF(OR($Q152=Parametres!$G$2,$Q152=Parametres!$G$3),J152,D152)</f>
        <v>-11731.78</v>
      </c>
      <c r="P152" s="151">
        <f>+IF(OR($Q152=Parametres!$G$2,$Q152=Parametres!$G$3),K152,E152)</f>
        <v>-11731.78</v>
      </c>
      <c r="Q152" s="150" t="str">
        <f t="shared" si="12"/>
        <v>5-Ventes</v>
      </c>
      <c r="R152" s="149" t="str">
        <f t="shared" si="13"/>
        <v>462A</v>
      </c>
      <c r="S152" s="150" t="str">
        <f t="shared" si="14"/>
        <v>_</v>
      </c>
      <c r="T152" s="152" t="str">
        <f>+VLOOKUP($L152,Data_Validation!$A:$D,1,0)</f>
        <v>462A</v>
      </c>
      <c r="U152" s="152" t="str">
        <f>+VLOOKUP($L152,Data_Validation!$A:$D,3,0)</f>
        <v>service</v>
      </c>
      <c r="V152" s="152" t="str">
        <f>+VLOOKUP($L152,Data_Validation!$A:$D,4,0)</f>
        <v>M/O Interne</v>
      </c>
      <c r="W152" s="152" t="str">
        <f>+VLOOKUP($L152,Data_Validation!$A:$E,5,0)</f>
        <v>$</v>
      </c>
      <c r="X152" s="152" t="str">
        <f>+VLOOKUP($L152,Data_Validation!$A:$F,6,0)</f>
        <v>Oui</v>
      </c>
    </row>
    <row r="153" spans="1:24" ht="15" customHeight="1">
      <c r="A153" s="708" t="s">
        <v>1138</v>
      </c>
      <c r="B153" s="708" t="s">
        <v>431</v>
      </c>
      <c r="C153" s="710">
        <v>0</v>
      </c>
      <c r="D153" s="710">
        <v>-13995.65</v>
      </c>
      <c r="E153" s="710">
        <v>-13995.65</v>
      </c>
      <c r="F153" s="708" t="s">
        <v>2006</v>
      </c>
      <c r="G153" s="708" t="s">
        <v>1139</v>
      </c>
      <c r="H153" s="664" t="s">
        <v>3000</v>
      </c>
      <c r="I153" s="663"/>
      <c r="J153" s="663"/>
      <c r="K153" s="663"/>
      <c r="L153" s="149" t="str">
        <f t="shared" si="10"/>
        <v>462B</v>
      </c>
      <c r="M153" s="150" t="str">
        <f t="shared" si="11"/>
        <v>VTE - M/O INTERNE BMW CAMION</v>
      </c>
      <c r="N153" s="151">
        <f>+IF(OR($Q153=Parametres!$G$2,$Q153=Parametres!$G$3),I153,C153)</f>
        <v>0</v>
      </c>
      <c r="O153" s="151">
        <f>+IF(OR($Q153=Parametres!$G$2,$Q153=Parametres!$G$3),J153,D153)</f>
        <v>-13995.65</v>
      </c>
      <c r="P153" s="151">
        <f>+IF(OR($Q153=Parametres!$G$2,$Q153=Parametres!$G$3),K153,E153)</f>
        <v>-13995.65</v>
      </c>
      <c r="Q153" s="150" t="str">
        <f t="shared" si="12"/>
        <v>5-Ventes</v>
      </c>
      <c r="R153" s="149" t="str">
        <f t="shared" si="13"/>
        <v>462A</v>
      </c>
      <c r="S153" s="150" t="str">
        <f t="shared" si="14"/>
        <v>_</v>
      </c>
      <c r="T153" s="152" t="str">
        <f>+VLOOKUP($L153,Data_Validation!$A:$D,1,0)</f>
        <v>462B</v>
      </c>
      <c r="U153" s="152" t="str">
        <f>+VLOOKUP($L153,Data_Validation!$A:$D,3,0)</f>
        <v>service</v>
      </c>
      <c r="V153" s="152" t="str">
        <f>+VLOOKUP($L153,Data_Validation!$A:$D,4,0)</f>
        <v>M/O Interne</v>
      </c>
      <c r="W153" s="152" t="str">
        <f>+VLOOKUP($L153,Data_Validation!$A:$E,5,0)</f>
        <v>$</v>
      </c>
      <c r="X153" s="152" t="str">
        <f>+VLOOKUP($L153,Data_Validation!$A:$F,6,0)</f>
        <v>Oui</v>
      </c>
    </row>
    <row r="154" spans="1:24" ht="15" customHeight="1">
      <c r="A154" s="708" t="s">
        <v>1018</v>
      </c>
      <c r="B154" s="708" t="s">
        <v>471</v>
      </c>
      <c r="C154" s="710">
        <v>0</v>
      </c>
      <c r="D154" s="710">
        <v>-1386.66</v>
      </c>
      <c r="E154" s="710">
        <v>-1386.66</v>
      </c>
      <c r="F154" s="708" t="s">
        <v>2006</v>
      </c>
      <c r="G154" s="708" t="s">
        <v>1139</v>
      </c>
      <c r="H154" s="664" t="s">
        <v>3000</v>
      </c>
      <c r="I154" s="663"/>
      <c r="J154" s="663"/>
      <c r="K154" s="663"/>
      <c r="L154" s="149" t="str">
        <f t="shared" si="10"/>
        <v>462D</v>
      </c>
      <c r="M154" s="150" t="str">
        <f t="shared" si="11"/>
        <v>VTE - M/O INTERNE BMW I</v>
      </c>
      <c r="N154" s="151">
        <f>+IF(OR($Q154=Parametres!$G$2,$Q154=Parametres!$G$3),I154,C154)</f>
        <v>0</v>
      </c>
      <c r="O154" s="151">
        <f>+IF(OR($Q154=Parametres!$G$2,$Q154=Parametres!$G$3),J154,D154)</f>
        <v>-1386.66</v>
      </c>
      <c r="P154" s="151">
        <f>+IF(OR($Q154=Parametres!$G$2,$Q154=Parametres!$G$3),K154,E154)</f>
        <v>-1386.66</v>
      </c>
      <c r="Q154" s="150" t="str">
        <f t="shared" si="12"/>
        <v>5-Ventes</v>
      </c>
      <c r="R154" s="149" t="str">
        <f t="shared" si="13"/>
        <v>462A</v>
      </c>
      <c r="S154" s="150" t="str">
        <f t="shared" si="14"/>
        <v>_</v>
      </c>
      <c r="T154" s="152" t="str">
        <f>+VLOOKUP($L154,Data_Validation!$A:$D,1,0)</f>
        <v>462D</v>
      </c>
      <c r="U154" s="152" t="str">
        <f>+VLOOKUP($L154,Data_Validation!$A:$D,3,0)</f>
        <v>service</v>
      </c>
      <c r="V154" s="152" t="str">
        <f>+VLOOKUP($L154,Data_Validation!$A:$D,4,0)</f>
        <v>M/O Interne</v>
      </c>
      <c r="W154" s="152" t="str">
        <f>+VLOOKUP($L154,Data_Validation!$A:$E,5,0)</f>
        <v>$</v>
      </c>
      <c r="X154" s="152" t="str">
        <f>+VLOOKUP($L154,Data_Validation!$A:$F,6,0)</f>
        <v>Oui</v>
      </c>
    </row>
    <row r="155" spans="1:24" ht="15.75" customHeight="1">
      <c r="A155" s="708" t="s">
        <v>2175</v>
      </c>
      <c r="B155" s="708" t="s">
        <v>2176</v>
      </c>
      <c r="C155" s="710">
        <v>0</v>
      </c>
      <c r="D155" s="710">
        <v>-725.75</v>
      </c>
      <c r="E155" s="710">
        <v>-725.75</v>
      </c>
      <c r="F155" s="708" t="s">
        <v>2006</v>
      </c>
      <c r="G155" s="708" t="s">
        <v>1139</v>
      </c>
      <c r="H155" s="664" t="s">
        <v>3000</v>
      </c>
      <c r="I155" s="663"/>
      <c r="J155" s="663"/>
      <c r="K155" s="663"/>
      <c r="L155" s="149" t="str">
        <f t="shared" si="10"/>
        <v>462M</v>
      </c>
      <c r="M155" s="150" t="str">
        <f t="shared" si="11"/>
        <v>VTES -SUBLET INTERNE CAMION</v>
      </c>
      <c r="N155" s="151">
        <f>+IF(OR($Q155=Parametres!$G$2,$Q155=Parametres!$G$3),I155,C155)</f>
        <v>0</v>
      </c>
      <c r="O155" s="151">
        <f>+IF(OR($Q155=Parametres!$G$2,$Q155=Parametres!$G$3),J155,D155)</f>
        <v>-725.75</v>
      </c>
      <c r="P155" s="151">
        <f>+IF(OR($Q155=Parametres!$G$2,$Q155=Parametres!$G$3),K155,E155)</f>
        <v>-725.75</v>
      </c>
      <c r="Q155" s="150" t="str">
        <f t="shared" si="12"/>
        <v>5-Ventes</v>
      </c>
      <c r="R155" s="149" t="str">
        <f t="shared" si="13"/>
        <v>462A</v>
      </c>
      <c r="S155" s="150" t="str">
        <f t="shared" si="14"/>
        <v>_</v>
      </c>
      <c r="T155" s="152" t="str">
        <f>+VLOOKUP($L155,Data_Validation!$A:$D,1,0)</f>
        <v>462M</v>
      </c>
      <c r="U155" s="152" t="str">
        <f>+VLOOKUP($L155,Data_Validation!$A:$D,3,0)</f>
        <v>Service</v>
      </c>
      <c r="V155" s="152" t="str">
        <f>+VLOOKUP($L155,Data_Validation!$A:$D,4,0)</f>
        <v>M/O Interne</v>
      </c>
      <c r="W155" s="152" t="str">
        <f>+VLOOKUP($L155,Data_Validation!$A:$E,5,0)</f>
        <v>$</v>
      </c>
      <c r="X155" s="152" t="str">
        <f>+VLOOKUP($L155,Data_Validation!$A:$F,6,0)</f>
        <v>oui</v>
      </c>
    </row>
    <row r="156" spans="1:24" ht="15" customHeight="1">
      <c r="A156" s="708" t="s">
        <v>1142</v>
      </c>
      <c r="B156" s="708" t="s">
        <v>454</v>
      </c>
      <c r="C156" s="709">
        <v>0</v>
      </c>
      <c r="D156" s="1274">
        <v>-331.8</v>
      </c>
      <c r="E156" s="1274">
        <v>-331.8</v>
      </c>
      <c r="F156" s="708" t="s">
        <v>2006</v>
      </c>
      <c r="G156" s="708" t="s">
        <v>1143</v>
      </c>
      <c r="H156" s="709" t="s">
        <v>3000</v>
      </c>
      <c r="I156" s="710"/>
      <c r="J156" s="710"/>
      <c r="K156" s="710"/>
      <c r="L156" s="149" t="str">
        <f t="shared" si="10"/>
        <v>463B</v>
      </c>
      <c r="M156" s="150" t="str">
        <f t="shared" si="11"/>
        <v>VTE - SOUS-TRAITANCE BMW CAMION</v>
      </c>
      <c r="N156" s="151">
        <f>+IF(OR($Q156=Parametres!$G$2,$Q156=Parametres!$G$3),I156,C156)</f>
        <v>0</v>
      </c>
      <c r="O156" s="497">
        <f>+IF(OR($Q156=Parametres!$G$2,$Q156=Parametres!$G$3),J156,D156)</f>
        <v>-331.8</v>
      </c>
      <c r="P156" s="151">
        <f>+IF(OR($Q156=Parametres!$G$2,$Q156=Parametres!$G$3),K156,E156)</f>
        <v>-331.8</v>
      </c>
      <c r="Q156" s="150" t="str">
        <f t="shared" si="12"/>
        <v>5-Ventes</v>
      </c>
      <c r="R156" s="149" t="str">
        <f t="shared" si="13"/>
        <v>463A</v>
      </c>
      <c r="S156" s="150" t="str">
        <f t="shared" si="14"/>
        <v>_</v>
      </c>
      <c r="T156" s="152" t="str">
        <f>+VLOOKUP($L156,Data_Validation!$A:$D,1,0)</f>
        <v>463B</v>
      </c>
      <c r="U156" s="152" t="str">
        <f>+VLOOKUP($L156,Data_Validation!$A:$D,3,0)</f>
        <v>service</v>
      </c>
      <c r="V156" s="152" t="str">
        <f>+VLOOKUP($L156,Data_Validation!$A:$D,4,0)</f>
        <v>Sous-traitement</v>
      </c>
      <c r="W156" s="152" t="str">
        <f>+VLOOKUP($L156,Data_Validation!$A:$E,5,0)</f>
        <v>$</v>
      </c>
      <c r="X156" s="152" t="str">
        <f>+VLOOKUP($L156,Data_Validation!$A:$F,6,0)</f>
        <v>Oui</v>
      </c>
    </row>
    <row r="157" spans="1:24" ht="15" customHeight="1">
      <c r="A157" s="708" t="s">
        <v>1119</v>
      </c>
      <c r="B157" s="708" t="s">
        <v>1120</v>
      </c>
      <c r="C157" s="709">
        <v>0</v>
      </c>
      <c r="D157" s="1274">
        <v>-20321</v>
      </c>
      <c r="E157" s="1274">
        <v>-20321</v>
      </c>
      <c r="F157" s="708" t="s">
        <v>2006</v>
      </c>
      <c r="G157" s="708" t="s">
        <v>1120</v>
      </c>
      <c r="H157" s="709" t="s">
        <v>3000</v>
      </c>
      <c r="I157" s="710"/>
      <c r="J157" s="710"/>
      <c r="K157" s="710"/>
      <c r="L157" s="149" t="str">
        <f t="shared" si="10"/>
        <v>470A</v>
      </c>
      <c r="M157" s="150" t="str">
        <f t="shared" si="11"/>
        <v>VTE - PIECES BT CLIENT BMW AUTO</v>
      </c>
      <c r="N157" s="151">
        <f>+IF(OR($Q157=Parametres!$G$2,$Q157=Parametres!$G$3),I157,C157)</f>
        <v>0</v>
      </c>
      <c r="O157" s="497">
        <f>+IF(OR($Q157=Parametres!$G$2,$Q157=Parametres!$G$3),J157,D157)</f>
        <v>-20321</v>
      </c>
      <c r="P157" s="151">
        <f>+IF(OR($Q157=Parametres!$G$2,$Q157=Parametres!$G$3),K157,E157)</f>
        <v>-20321</v>
      </c>
      <c r="Q157" s="150" t="str">
        <f t="shared" si="12"/>
        <v>5-Ventes</v>
      </c>
      <c r="R157" s="149" t="str">
        <f t="shared" si="13"/>
        <v>470A</v>
      </c>
      <c r="S157" s="150" t="str">
        <f t="shared" si="14"/>
        <v>_</v>
      </c>
      <c r="T157" s="152" t="str">
        <f>+VLOOKUP($L157,Data_Validation!$A:$D,1,0)</f>
        <v>470A</v>
      </c>
      <c r="U157" s="152" t="str">
        <f>+VLOOKUP($L157,Data_Validation!$A:$D,3,0)</f>
        <v>Pièces</v>
      </c>
      <c r="V157" s="152" t="str">
        <f>+VLOOKUP($L157,Data_Validation!$A:$D,4,0)</f>
        <v>Pièces Ro Clients</v>
      </c>
      <c r="W157" s="152" t="str">
        <f>+VLOOKUP($L157,Data_Validation!$A:$E,5,0)</f>
        <v>$</v>
      </c>
      <c r="X157" s="152" t="str">
        <f>+VLOOKUP($L157,Data_Validation!$A:$F,6,0)</f>
        <v>Oui</v>
      </c>
    </row>
    <row r="158" spans="1:24" ht="15" customHeight="1">
      <c r="A158" s="708" t="s">
        <v>1135</v>
      </c>
      <c r="B158" s="708" t="s">
        <v>429</v>
      </c>
      <c r="C158" s="710">
        <v>0</v>
      </c>
      <c r="D158" s="710">
        <v>-25728.41</v>
      </c>
      <c r="E158" s="710">
        <v>-25728.41</v>
      </c>
      <c r="F158" s="708" t="s">
        <v>2006</v>
      </c>
      <c r="G158" s="708" t="s">
        <v>1120</v>
      </c>
      <c r="H158" s="657" t="s">
        <v>3000</v>
      </c>
      <c r="I158" s="656"/>
      <c r="J158" s="656"/>
      <c r="K158" s="656"/>
      <c r="L158" s="149" t="str">
        <f t="shared" si="10"/>
        <v>470B</v>
      </c>
      <c r="M158" s="150" t="str">
        <f t="shared" si="11"/>
        <v>VTE - PIECES BT CLIENT BMW CAMION</v>
      </c>
      <c r="N158" s="151">
        <f>+IF(OR($Q158=Parametres!$G$2,$Q158=Parametres!$G$3),I158,C158)</f>
        <v>0</v>
      </c>
      <c r="O158" s="151">
        <f>+IF(OR($Q158=Parametres!$G$2,$Q158=Parametres!$G$3),J158,D158)</f>
        <v>-25728.41</v>
      </c>
      <c r="P158" s="151">
        <f>+IF(OR($Q158=Parametres!$G$2,$Q158=Parametres!$G$3),K158,E158)</f>
        <v>-25728.41</v>
      </c>
      <c r="Q158" s="150" t="str">
        <f t="shared" si="12"/>
        <v>5-Ventes</v>
      </c>
      <c r="R158" s="149" t="str">
        <f t="shared" si="13"/>
        <v>470A</v>
      </c>
      <c r="S158" s="150" t="str">
        <f t="shared" si="14"/>
        <v>_</v>
      </c>
      <c r="T158" s="152" t="str">
        <f>+VLOOKUP($L158,Data_Validation!$A:$D,1,0)</f>
        <v>470B</v>
      </c>
      <c r="U158" s="152" t="str">
        <f>+VLOOKUP($L158,Data_Validation!$A:$D,3,0)</f>
        <v>Pièces</v>
      </c>
      <c r="V158" s="152" t="str">
        <f>+VLOOKUP($L158,Data_Validation!$A:$D,4,0)</f>
        <v>Pièces Ro Clients</v>
      </c>
      <c r="W158" s="152" t="str">
        <f>+VLOOKUP($L158,Data_Validation!$A:$E,5,0)</f>
        <v>$</v>
      </c>
      <c r="X158" s="152" t="str">
        <f>+VLOOKUP($L158,Data_Validation!$A:$F,6,0)</f>
        <v>Oui</v>
      </c>
    </row>
    <row r="159" spans="1:24" ht="15.75" customHeight="1">
      <c r="A159" s="708" t="s">
        <v>1238</v>
      </c>
      <c r="B159" s="708" t="s">
        <v>457</v>
      </c>
      <c r="C159" s="710">
        <v>0</v>
      </c>
      <c r="D159" s="710">
        <v>-1615.02</v>
      </c>
      <c r="E159" s="710">
        <v>-1615.02</v>
      </c>
      <c r="F159" s="708" t="s">
        <v>2006</v>
      </c>
      <c r="G159" s="708" t="s">
        <v>1120</v>
      </c>
      <c r="H159" s="664" t="s">
        <v>3000</v>
      </c>
      <c r="I159" s="663"/>
      <c r="J159" s="663"/>
      <c r="K159" s="663"/>
      <c r="L159" s="149" t="str">
        <f t="shared" si="10"/>
        <v>470D</v>
      </c>
      <c r="M159" s="150" t="str">
        <f t="shared" si="11"/>
        <v>VTE - PIECES BT CLIENT BMW I</v>
      </c>
      <c r="N159" s="151">
        <f>+IF(OR($Q159=Parametres!$G$2,$Q159=Parametres!$G$3),I159,C159)</f>
        <v>0</v>
      </c>
      <c r="O159" s="151">
        <f>+IF(OR($Q159=Parametres!$G$2,$Q159=Parametres!$G$3),J159,D159)</f>
        <v>-1615.02</v>
      </c>
      <c r="P159" s="151">
        <f>+IF(OR($Q159=Parametres!$G$2,$Q159=Parametres!$G$3),K159,E159)</f>
        <v>-1615.02</v>
      </c>
      <c r="Q159" s="150" t="str">
        <f t="shared" si="12"/>
        <v>5-Ventes</v>
      </c>
      <c r="R159" s="149" t="str">
        <f t="shared" si="13"/>
        <v>470A</v>
      </c>
      <c r="S159" s="150" t="str">
        <f t="shared" si="14"/>
        <v>_</v>
      </c>
      <c r="T159" s="152" t="str">
        <f>+VLOOKUP($L159,Data_Validation!$A:$D,1,0)</f>
        <v>470D</v>
      </c>
      <c r="U159" s="152" t="str">
        <f>+VLOOKUP($L159,Data_Validation!$A:$D,3,0)</f>
        <v>Pièces</v>
      </c>
      <c r="V159" s="152" t="str">
        <f>+VLOOKUP($L159,Data_Validation!$A:$D,4,0)</f>
        <v>Pièces Ro Clients</v>
      </c>
      <c r="W159" s="152" t="str">
        <f>+VLOOKUP($L159,Data_Validation!$A:$E,5,0)</f>
        <v>$</v>
      </c>
      <c r="X159" s="152" t="str">
        <f>+VLOOKUP($L159,Data_Validation!$A:$F,6,0)</f>
        <v>Oui</v>
      </c>
    </row>
    <row r="160" spans="1:24" ht="15" customHeight="1">
      <c r="A160" s="708" t="s">
        <v>1095</v>
      </c>
      <c r="B160" s="708" t="s">
        <v>1096</v>
      </c>
      <c r="C160" s="710">
        <v>0</v>
      </c>
      <c r="D160" s="710">
        <v>-1635.03</v>
      </c>
      <c r="E160" s="710">
        <v>-1635.03</v>
      </c>
      <c r="F160" s="708" t="s">
        <v>2006</v>
      </c>
      <c r="G160" s="708" t="s">
        <v>1096</v>
      </c>
      <c r="H160" s="664" t="s">
        <v>3000</v>
      </c>
      <c r="I160" s="663"/>
      <c r="J160" s="663"/>
      <c r="K160" s="663"/>
      <c r="L160" s="149" t="str">
        <f t="shared" si="10"/>
        <v>472A</v>
      </c>
      <c r="M160" s="150" t="str">
        <f t="shared" si="11"/>
        <v>VTE - PIECES GARANTIE BMW AUTO</v>
      </c>
      <c r="N160" s="151">
        <f>+IF(OR($Q160=Parametres!$G$2,$Q160=Parametres!$G$3),I160,C160)</f>
        <v>0</v>
      </c>
      <c r="O160" s="151">
        <f>+IF(OR($Q160=Parametres!$G$2,$Q160=Parametres!$G$3),J160,D160)</f>
        <v>-1635.03</v>
      </c>
      <c r="P160" s="151">
        <f>+IF(OR($Q160=Parametres!$G$2,$Q160=Parametres!$G$3),K160,E160)</f>
        <v>-1635.03</v>
      </c>
      <c r="Q160" s="150" t="str">
        <f t="shared" si="12"/>
        <v>5-Ventes</v>
      </c>
      <c r="R160" s="149" t="str">
        <f t="shared" si="13"/>
        <v>472A</v>
      </c>
      <c r="S160" s="150" t="str">
        <f t="shared" si="14"/>
        <v>_</v>
      </c>
      <c r="T160" s="152" t="str">
        <f>+VLOOKUP($L160,Data_Validation!$A:$D,1,0)</f>
        <v>472A</v>
      </c>
      <c r="U160" s="152" t="str">
        <f>+VLOOKUP($L160,Data_Validation!$A:$D,3,0)</f>
        <v>pièces</v>
      </c>
      <c r="V160" s="152" t="str">
        <f>+VLOOKUP($L160,Data_Validation!$A:$D,4,0)</f>
        <v>P/A Garantie</v>
      </c>
      <c r="W160" s="152" t="str">
        <f>+VLOOKUP($L160,Data_Validation!$A:$E,5,0)</f>
        <v>$</v>
      </c>
      <c r="X160" s="152" t="str">
        <f>+VLOOKUP($L160,Data_Validation!$A:$F,6,0)</f>
        <v>Oui</v>
      </c>
    </row>
    <row r="161" spans="1:24" ht="15" customHeight="1">
      <c r="A161" s="708" t="s">
        <v>1099</v>
      </c>
      <c r="B161" s="708" t="s">
        <v>465</v>
      </c>
      <c r="C161" s="709">
        <v>0</v>
      </c>
      <c r="D161" s="1274">
        <v>-11830.03</v>
      </c>
      <c r="E161" s="1274">
        <v>-11830.03</v>
      </c>
      <c r="F161" s="708" t="s">
        <v>2006</v>
      </c>
      <c r="G161" s="708" t="s">
        <v>1096</v>
      </c>
      <c r="H161" s="709" t="s">
        <v>3000</v>
      </c>
      <c r="I161" s="710"/>
      <c r="J161" s="710"/>
      <c r="K161" s="710"/>
      <c r="L161" s="149" t="str">
        <f t="shared" si="10"/>
        <v>472B</v>
      </c>
      <c r="M161" s="150" t="str">
        <f t="shared" si="11"/>
        <v>VTE - PIECES GARANTIE BMW CAMION</v>
      </c>
      <c r="N161" s="151">
        <f>+IF(OR($Q161=Parametres!$G$2,$Q161=Parametres!$G$3),I161,C161)</f>
        <v>0</v>
      </c>
      <c r="O161" s="151">
        <f>+IF(OR($Q161=Parametres!$G$2,$Q161=Parametres!$G$3),J161,D161)</f>
        <v>-11830.03</v>
      </c>
      <c r="P161" s="151">
        <f>+IF(OR($Q161=Parametres!$G$2,$Q161=Parametres!$G$3),K161,E161)</f>
        <v>-11830.03</v>
      </c>
      <c r="Q161" s="150" t="str">
        <f t="shared" si="12"/>
        <v>5-Ventes</v>
      </c>
      <c r="R161" s="149" t="str">
        <f t="shared" si="13"/>
        <v>472A</v>
      </c>
      <c r="S161" s="150" t="str">
        <f t="shared" si="14"/>
        <v>_</v>
      </c>
      <c r="T161" s="152" t="str">
        <f>+VLOOKUP($L161,Data_Validation!$A:$D,1,0)</f>
        <v>472B</v>
      </c>
      <c r="U161" s="152" t="str">
        <f>+VLOOKUP($L161,Data_Validation!$A:$D,3,0)</f>
        <v>pièces</v>
      </c>
      <c r="V161" s="152" t="str">
        <f>+VLOOKUP($L161,Data_Validation!$A:$D,4,0)</f>
        <v>P/A Garantie</v>
      </c>
      <c r="W161" s="152" t="str">
        <f>+VLOOKUP($L161,Data_Validation!$A:$E,5,0)</f>
        <v>$</v>
      </c>
      <c r="X161" s="152" t="str">
        <f>+VLOOKUP($L161,Data_Validation!$A:$F,6,0)</f>
        <v>Oui</v>
      </c>
    </row>
    <row r="162" spans="1:24" ht="15" customHeight="1">
      <c r="A162" s="708" t="s">
        <v>1179</v>
      </c>
      <c r="B162" s="708" t="s">
        <v>434</v>
      </c>
      <c r="C162" s="710">
        <v>0</v>
      </c>
      <c r="D162" s="710">
        <v>-327.56</v>
      </c>
      <c r="E162" s="710">
        <v>-327.56</v>
      </c>
      <c r="F162" s="708" t="s">
        <v>2006</v>
      </c>
      <c r="G162" s="708" t="s">
        <v>434</v>
      </c>
      <c r="H162" s="664" t="s">
        <v>3000</v>
      </c>
      <c r="I162" s="663"/>
      <c r="J162" s="663"/>
      <c r="K162" s="663"/>
      <c r="L162" s="149" t="str">
        <f t="shared" si="10"/>
        <v>472D</v>
      </c>
      <c r="M162" s="150" t="str">
        <f t="shared" si="11"/>
        <v>VTE - PIECES ENTRETIEN BMW AUTO</v>
      </c>
      <c r="N162" s="151">
        <f>+IF(OR($Q162=Parametres!$G$2,$Q162=Parametres!$G$3),I162,C162)</f>
        <v>0</v>
      </c>
      <c r="O162" s="151">
        <f>+IF(OR($Q162=Parametres!$G$2,$Q162=Parametres!$G$3),J162,D162)</f>
        <v>-327.56</v>
      </c>
      <c r="P162" s="151">
        <f>+IF(OR($Q162=Parametres!$G$2,$Q162=Parametres!$G$3),K162,E162)</f>
        <v>-327.56</v>
      </c>
      <c r="Q162" s="150" t="str">
        <f t="shared" si="12"/>
        <v>5-Ventes</v>
      </c>
      <c r="R162" s="149" t="str">
        <f t="shared" si="13"/>
        <v>472D</v>
      </c>
      <c r="S162" s="150" t="str">
        <f t="shared" si="14"/>
        <v>_</v>
      </c>
      <c r="T162" s="152" t="str">
        <f>+VLOOKUP($L162,Data_Validation!$A:$D,1,0)</f>
        <v>472D</v>
      </c>
      <c r="U162" s="152" t="str">
        <f>+VLOOKUP($L162,Data_Validation!$A:$D,3,0)</f>
        <v>pièces</v>
      </c>
      <c r="V162" s="152" t="str">
        <f>+VLOOKUP($L162,Data_Validation!$A:$D,4,0)</f>
        <v>P/A Garantie</v>
      </c>
      <c r="W162" s="152" t="str">
        <f>+VLOOKUP($L162,Data_Validation!$A:$E,5,0)</f>
        <v>$</v>
      </c>
      <c r="X162" s="152" t="str">
        <f>+VLOOKUP($L162,Data_Validation!$A:$F,6,0)</f>
        <v>Oui</v>
      </c>
    </row>
    <row r="163" spans="1:24" ht="15.75" customHeight="1">
      <c r="A163" s="708" t="s">
        <v>1149</v>
      </c>
      <c r="B163" s="708" t="s">
        <v>464</v>
      </c>
      <c r="C163" s="709">
        <v>0</v>
      </c>
      <c r="D163" s="1274">
        <v>-5164.8900000000003</v>
      </c>
      <c r="E163" s="1274">
        <v>-5164.8900000000003</v>
      </c>
      <c r="F163" s="708" t="s">
        <v>2006</v>
      </c>
      <c r="G163" s="708" t="s">
        <v>434</v>
      </c>
      <c r="H163" s="709" t="s">
        <v>3000</v>
      </c>
      <c r="I163" s="710"/>
      <c r="J163" s="710"/>
      <c r="K163" s="710"/>
      <c r="L163" s="149" t="str">
        <f t="shared" si="10"/>
        <v>472E</v>
      </c>
      <c r="M163" s="150" t="str">
        <f t="shared" si="11"/>
        <v>VTE - PIECES ENTRETIEN BMW CAMION</v>
      </c>
      <c r="N163" s="151">
        <f>+IF(OR($Q163=Parametres!$G$2,$Q163=Parametres!$G$3),I163,C163)</f>
        <v>0</v>
      </c>
      <c r="O163" s="151">
        <f>+IF(OR($Q163=Parametres!$G$2,$Q163=Parametres!$G$3),J163,D163)</f>
        <v>-5164.8900000000003</v>
      </c>
      <c r="P163" s="151">
        <f>+IF(OR($Q163=Parametres!$G$2,$Q163=Parametres!$G$3),K163,E163)</f>
        <v>-5164.8900000000003</v>
      </c>
      <c r="Q163" s="150" t="str">
        <f t="shared" si="12"/>
        <v>5-Ventes</v>
      </c>
      <c r="R163" s="149" t="str">
        <f t="shared" si="13"/>
        <v>472D</v>
      </c>
      <c r="S163" s="150" t="str">
        <f t="shared" si="14"/>
        <v>_</v>
      </c>
      <c r="T163" s="152" t="str">
        <f>+VLOOKUP($L163,Data_Validation!$A:$D,1,0)</f>
        <v>472E</v>
      </c>
      <c r="U163" s="152" t="str">
        <f>+VLOOKUP($L163,Data_Validation!$A:$D,3,0)</f>
        <v>pièces</v>
      </c>
      <c r="V163" s="152" t="str">
        <f>+VLOOKUP($L163,Data_Validation!$A:$D,4,0)</f>
        <v>P/A Garantie</v>
      </c>
      <c r="W163" s="152" t="str">
        <f>+VLOOKUP($L163,Data_Validation!$A:$E,5,0)</f>
        <v>$</v>
      </c>
      <c r="X163" s="152" t="str">
        <f>+VLOOKUP($L163,Data_Validation!$A:$F,6,0)</f>
        <v>Oui</v>
      </c>
    </row>
    <row r="164" spans="1:24" ht="15" customHeight="1">
      <c r="A164" s="708" t="s">
        <v>1230</v>
      </c>
      <c r="B164" s="708" t="s">
        <v>470</v>
      </c>
      <c r="C164" s="709">
        <v>0</v>
      </c>
      <c r="D164" s="1274">
        <v>-204.48</v>
      </c>
      <c r="E164" s="1274">
        <v>-204.48</v>
      </c>
      <c r="F164" s="708" t="s">
        <v>2006</v>
      </c>
      <c r="G164" s="708" t="s">
        <v>434</v>
      </c>
      <c r="H164" s="709" t="s">
        <v>3000</v>
      </c>
      <c r="I164" s="710"/>
      <c r="J164" s="710"/>
      <c r="K164" s="710"/>
      <c r="L164" s="149" t="str">
        <f t="shared" si="10"/>
        <v>472G</v>
      </c>
      <c r="M164" s="150" t="str">
        <f t="shared" si="11"/>
        <v>VTE - PIECES ENTRETIEN BMW I</v>
      </c>
      <c r="N164" s="151">
        <f>+IF(OR($Q164=Parametres!$G$2,$Q164=Parametres!$G$3),I164,C164)</f>
        <v>0</v>
      </c>
      <c r="O164" s="498">
        <f>+IF(OR($Q164=Parametres!$G$2,$Q164=Parametres!$G$3),J164,D164)</f>
        <v>-204.48</v>
      </c>
      <c r="P164" s="151">
        <f>+IF(OR($Q164=Parametres!$G$2,$Q164=Parametres!$G$3),K164,E164)</f>
        <v>-204.48</v>
      </c>
      <c r="Q164" s="150" t="str">
        <f t="shared" si="12"/>
        <v>5-Ventes</v>
      </c>
      <c r="R164" s="149" t="str">
        <f t="shared" si="13"/>
        <v>472D</v>
      </c>
      <c r="S164" s="150" t="str">
        <f t="shared" si="14"/>
        <v>_</v>
      </c>
      <c r="T164" s="152" t="str">
        <f>+VLOOKUP($L164,Data_Validation!$A:$D,1,0)</f>
        <v>472G</v>
      </c>
      <c r="U164" s="152" t="str">
        <f>+VLOOKUP($L164,Data_Validation!$A:$D,3,0)</f>
        <v>pièces</v>
      </c>
      <c r="V164" s="152" t="str">
        <f>+VLOOKUP($L164,Data_Validation!$A:$D,4,0)</f>
        <v>P/A Garantie</v>
      </c>
      <c r="W164" s="152" t="str">
        <f>+VLOOKUP($L164,Data_Validation!$A:$E,5,0)</f>
        <v>$</v>
      </c>
      <c r="X164" s="152" t="str">
        <f>+VLOOKUP($L164,Data_Validation!$A:$F,6,0)</f>
        <v>Oui</v>
      </c>
    </row>
    <row r="165" spans="1:24" ht="15" customHeight="1">
      <c r="A165" s="708" t="s">
        <v>1027</v>
      </c>
      <c r="B165" s="708" t="s">
        <v>634</v>
      </c>
      <c r="C165" s="710">
        <v>0</v>
      </c>
      <c r="D165" s="710">
        <v>-7217.74</v>
      </c>
      <c r="E165" s="710">
        <v>-7217.74</v>
      </c>
      <c r="F165" s="708" t="s">
        <v>2006</v>
      </c>
      <c r="G165" s="708" t="s">
        <v>1096</v>
      </c>
      <c r="H165" s="664" t="s">
        <v>3000</v>
      </c>
      <c r="I165" s="664"/>
      <c r="J165" s="664"/>
      <c r="K165" s="664"/>
      <c r="L165" s="149" t="str">
        <f t="shared" si="10"/>
        <v>472H</v>
      </c>
      <c r="M165" s="150" t="str">
        <f t="shared" si="11"/>
        <v>VTE - PIECES GARANTIE BMW I</v>
      </c>
      <c r="N165" s="151">
        <f>+IF(OR($Q165=Parametres!$G$2,$Q165=Parametres!$G$3),I165,C165)</f>
        <v>0</v>
      </c>
      <c r="O165" s="151">
        <f>+IF(OR($Q165=Parametres!$G$2,$Q165=Parametres!$G$3),J165,D165)</f>
        <v>-7217.74</v>
      </c>
      <c r="P165" s="151">
        <f>+IF(OR($Q165=Parametres!$G$2,$Q165=Parametres!$G$3),K165,E165)</f>
        <v>-7217.74</v>
      </c>
      <c r="Q165" s="150" t="str">
        <f t="shared" si="12"/>
        <v>5-Ventes</v>
      </c>
      <c r="R165" s="149" t="str">
        <f t="shared" si="13"/>
        <v>472A</v>
      </c>
      <c r="S165" s="150" t="str">
        <f t="shared" si="14"/>
        <v>_</v>
      </c>
      <c r="T165" s="152" t="str">
        <f>+VLOOKUP($L165,Data_Validation!$A:$D,1,0)</f>
        <v>472H</v>
      </c>
      <c r="U165" s="152" t="str">
        <f>+VLOOKUP($L165,Data_Validation!$A:$D,3,0)</f>
        <v>pièces</v>
      </c>
      <c r="V165" s="152" t="str">
        <f>+VLOOKUP($L165,Data_Validation!$A:$D,4,0)</f>
        <v>P/A Garantie</v>
      </c>
      <c r="W165" s="152" t="str">
        <f>+VLOOKUP($L165,Data_Validation!$A:$E,5,0)</f>
        <v>$</v>
      </c>
      <c r="X165" s="152" t="str">
        <f>+VLOOKUP($L165,Data_Validation!$A:$F,6,0)</f>
        <v>Oui</v>
      </c>
    </row>
    <row r="166" spans="1:24" ht="15" customHeight="1">
      <c r="A166" s="708" t="s">
        <v>1148</v>
      </c>
      <c r="B166" s="708" t="s">
        <v>1132</v>
      </c>
      <c r="C166" s="709">
        <v>0</v>
      </c>
      <c r="D166" s="1274">
        <v>-7353.08</v>
      </c>
      <c r="E166" s="1274">
        <v>-7353.08</v>
      </c>
      <c r="F166" s="708" t="s">
        <v>2006</v>
      </c>
      <c r="G166" s="708" t="s">
        <v>1132</v>
      </c>
      <c r="H166" s="709" t="s">
        <v>3000</v>
      </c>
      <c r="I166" s="710"/>
      <c r="J166" s="710"/>
      <c r="K166" s="710"/>
      <c r="L166" s="149" t="str">
        <f t="shared" si="10"/>
        <v>473A</v>
      </c>
      <c r="M166" s="150" t="str">
        <f t="shared" si="11"/>
        <v>VTE - PIECES INTERNE BMW AUTO</v>
      </c>
      <c r="N166" s="151">
        <f>+IF(OR($Q166=Parametres!$G$2,$Q166=Parametres!$G$3),I166,C166)</f>
        <v>0</v>
      </c>
      <c r="O166" s="499">
        <f>+IF(OR($Q166=Parametres!$G$2,$Q166=Parametres!$G$3),J166,D166)</f>
        <v>-7353.08</v>
      </c>
      <c r="P166" s="151">
        <f>+IF(OR($Q166=Parametres!$G$2,$Q166=Parametres!$G$3),K166,E166)</f>
        <v>-7353.08</v>
      </c>
      <c r="Q166" s="150" t="str">
        <f t="shared" si="12"/>
        <v>5-Ventes</v>
      </c>
      <c r="R166" s="149" t="str">
        <f t="shared" si="13"/>
        <v>473A</v>
      </c>
      <c r="S166" s="150" t="str">
        <f t="shared" si="14"/>
        <v>_</v>
      </c>
      <c r="T166" s="152" t="str">
        <f>+VLOOKUP($L166,Data_Validation!$A:$D,1,0)</f>
        <v>473A</v>
      </c>
      <c r="U166" s="152" t="str">
        <f>+VLOOKUP($L166,Data_Validation!$A:$D,3,0)</f>
        <v>pièces</v>
      </c>
      <c r="V166" s="152" t="str">
        <f>+VLOOKUP($L166,Data_Validation!$A:$D,4,0)</f>
        <v>Ventes Internes</v>
      </c>
      <c r="W166" s="152" t="str">
        <f>+VLOOKUP($L166,Data_Validation!$A:$E,5,0)</f>
        <v>$</v>
      </c>
      <c r="X166" s="152" t="str">
        <f>+VLOOKUP($L166,Data_Validation!$A:$F,6,0)</f>
        <v>Oui</v>
      </c>
    </row>
    <row r="167" spans="1:24" ht="15" customHeight="1">
      <c r="A167" s="708" t="s">
        <v>1131</v>
      </c>
      <c r="B167" s="708" t="s">
        <v>449</v>
      </c>
      <c r="C167" s="710">
        <v>0</v>
      </c>
      <c r="D167" s="710">
        <v>-6210.09</v>
      </c>
      <c r="E167" s="710">
        <v>-6210.09</v>
      </c>
      <c r="F167" s="708" t="s">
        <v>2006</v>
      </c>
      <c r="G167" s="708" t="s">
        <v>1132</v>
      </c>
      <c r="H167" s="664" t="s">
        <v>3000</v>
      </c>
      <c r="I167" s="663"/>
      <c r="J167" s="663"/>
      <c r="K167" s="663"/>
      <c r="L167" s="149" t="str">
        <f t="shared" si="10"/>
        <v>473B</v>
      </c>
      <c r="M167" s="150" t="str">
        <f t="shared" si="11"/>
        <v>VTE - PIECES INTERNE BMW CAMION</v>
      </c>
      <c r="N167" s="151">
        <f>+IF(OR($Q167=Parametres!$G$2,$Q167=Parametres!$G$3),I167,C167)</f>
        <v>0</v>
      </c>
      <c r="O167" s="151">
        <f>+IF(OR($Q167=Parametres!$G$2,$Q167=Parametres!$G$3),J167,D167)</f>
        <v>-6210.09</v>
      </c>
      <c r="P167" s="151">
        <f>+IF(OR($Q167=Parametres!$G$2,$Q167=Parametres!$G$3),K167,E167)</f>
        <v>-6210.09</v>
      </c>
      <c r="Q167" s="150" t="str">
        <f t="shared" si="12"/>
        <v>5-Ventes</v>
      </c>
      <c r="R167" s="149" t="str">
        <f t="shared" si="13"/>
        <v>473A</v>
      </c>
      <c r="S167" s="150" t="str">
        <f t="shared" si="14"/>
        <v>_</v>
      </c>
      <c r="T167" s="152" t="str">
        <f>+VLOOKUP($L167,Data_Validation!$A:$D,1,0)</f>
        <v>473B</v>
      </c>
      <c r="U167" s="152" t="str">
        <f>+VLOOKUP($L167,Data_Validation!$A:$D,3,0)</f>
        <v>pièces</v>
      </c>
      <c r="V167" s="152" t="str">
        <f>+VLOOKUP($L167,Data_Validation!$A:$D,4,0)</f>
        <v>Ventes Internes</v>
      </c>
      <c r="W167" s="152" t="str">
        <f>+VLOOKUP($L167,Data_Validation!$A:$E,5,0)</f>
        <v>$</v>
      </c>
      <c r="X167" s="152" t="str">
        <f>+VLOOKUP($L167,Data_Validation!$A:$F,6,0)</f>
        <v>Oui</v>
      </c>
    </row>
    <row r="168" spans="1:24" ht="15.75" customHeight="1">
      <c r="A168" s="708" t="s">
        <v>635</v>
      </c>
      <c r="B168" s="708" t="s">
        <v>636</v>
      </c>
      <c r="C168" s="710">
        <v>0</v>
      </c>
      <c r="D168" s="710">
        <v>-576.21</v>
      </c>
      <c r="E168" s="710">
        <v>-576.21</v>
      </c>
      <c r="F168" s="708" t="s">
        <v>2006</v>
      </c>
      <c r="G168" s="708" t="s">
        <v>1132</v>
      </c>
      <c r="H168" s="664" t="s">
        <v>3000</v>
      </c>
      <c r="I168" s="663"/>
      <c r="J168" s="663"/>
      <c r="K168" s="663"/>
      <c r="L168" s="149" t="str">
        <f t="shared" si="10"/>
        <v>473D</v>
      </c>
      <c r="M168" s="150" t="str">
        <f t="shared" si="11"/>
        <v>VTE - PIECES INTERNE BMW I</v>
      </c>
      <c r="N168" s="151">
        <f>+IF(OR($Q168=Parametres!$G$2,$Q168=Parametres!$G$3),I168,C168)</f>
        <v>0</v>
      </c>
      <c r="O168" s="151">
        <f>+IF(OR($Q168=Parametres!$G$2,$Q168=Parametres!$G$3),J168,D168)</f>
        <v>-576.21</v>
      </c>
      <c r="P168" s="151">
        <f>+IF(OR($Q168=Parametres!$G$2,$Q168=Parametres!$G$3),K168,E168)</f>
        <v>-576.21</v>
      </c>
      <c r="Q168" s="150" t="str">
        <f t="shared" si="12"/>
        <v>5-Ventes</v>
      </c>
      <c r="R168" s="149" t="str">
        <f t="shared" si="13"/>
        <v>473A</v>
      </c>
      <c r="S168" s="150" t="str">
        <f t="shared" si="14"/>
        <v>_</v>
      </c>
      <c r="T168" s="152" t="str">
        <f>+VLOOKUP($L168,Data_Validation!$A:$D,1,0)</f>
        <v>473D</v>
      </c>
      <c r="U168" s="152" t="str">
        <f>+VLOOKUP($L168,Data_Validation!$A:$D,3,0)</f>
        <v>pièces</v>
      </c>
      <c r="V168" s="152" t="str">
        <f>+VLOOKUP($L168,Data_Validation!$A:$D,4,0)</f>
        <v>Ventes Internes</v>
      </c>
      <c r="W168" s="152" t="str">
        <f>+VLOOKUP($L168,Data_Validation!$A:$E,5,0)</f>
        <v>$</v>
      </c>
      <c r="X168" s="152" t="str">
        <f>+VLOOKUP($L168,Data_Validation!$A:$F,6,0)</f>
        <v>Oui</v>
      </c>
    </row>
    <row r="169" spans="1:24" ht="15" customHeight="1">
      <c r="A169" s="708" t="s">
        <v>1117</v>
      </c>
      <c r="B169" s="708" t="s">
        <v>1118</v>
      </c>
      <c r="C169" s="710">
        <v>0</v>
      </c>
      <c r="D169" s="710">
        <v>-9826.33</v>
      </c>
      <c r="E169" s="710">
        <v>-9826.33</v>
      </c>
      <c r="F169" s="708" t="s">
        <v>2006</v>
      </c>
      <c r="G169" s="708" t="s">
        <v>1118</v>
      </c>
      <c r="H169" s="657" t="s">
        <v>3000</v>
      </c>
      <c r="I169" s="656"/>
      <c r="J169" s="656"/>
      <c r="K169" s="656"/>
      <c r="L169" s="149" t="str">
        <f t="shared" si="10"/>
        <v>474A</v>
      </c>
      <c r="M169" s="150" t="str">
        <f t="shared" si="11"/>
        <v>VTE - PIECES COMPTOIR BMW AUTO</v>
      </c>
      <c r="N169" s="151">
        <f>+IF(OR($Q169=Parametres!$G$2,$Q169=Parametres!$G$3),I169,C169)</f>
        <v>0</v>
      </c>
      <c r="O169" s="151">
        <f>+IF(OR($Q169=Parametres!$G$2,$Q169=Parametres!$G$3),J169,D169)</f>
        <v>-9826.33</v>
      </c>
      <c r="P169" s="151">
        <f>+IF(OR($Q169=Parametres!$G$2,$Q169=Parametres!$G$3),K169,E169)</f>
        <v>-9826.33</v>
      </c>
      <c r="Q169" s="150" t="str">
        <f t="shared" si="12"/>
        <v>5-Ventes</v>
      </c>
      <c r="R169" s="149" t="str">
        <f t="shared" si="13"/>
        <v>474A</v>
      </c>
      <c r="S169" s="150" t="str">
        <f t="shared" si="14"/>
        <v>_</v>
      </c>
      <c r="T169" s="152" t="str">
        <f>+VLOOKUP($L169,Data_Validation!$A:$D,1,0)</f>
        <v>474A</v>
      </c>
      <c r="U169" s="152" t="str">
        <f>+VLOOKUP($L169,Data_Validation!$A:$D,3,0)</f>
        <v>pièces</v>
      </c>
      <c r="V169" s="152" t="str">
        <f>+VLOOKUP($L169,Data_Validation!$A:$D,4,0)</f>
        <v>Ventes Détails</v>
      </c>
      <c r="W169" s="152" t="str">
        <f>+VLOOKUP($L169,Data_Validation!$A:$E,5,0)</f>
        <v>$</v>
      </c>
      <c r="X169" s="152" t="str">
        <f>+VLOOKUP($L169,Data_Validation!$A:$F,6,0)</f>
        <v>Oui</v>
      </c>
    </row>
    <row r="170" spans="1:24" ht="15" customHeight="1">
      <c r="A170" s="708" t="s">
        <v>1187</v>
      </c>
      <c r="B170" s="708" t="s">
        <v>460</v>
      </c>
      <c r="C170" s="709">
        <v>0</v>
      </c>
      <c r="D170" s="1274">
        <v>-640.02</v>
      </c>
      <c r="E170" s="1274">
        <v>-640.02</v>
      </c>
      <c r="F170" s="708" t="s">
        <v>2006</v>
      </c>
      <c r="G170" s="708" t="s">
        <v>1118</v>
      </c>
      <c r="H170" s="709" t="s">
        <v>3000</v>
      </c>
      <c r="I170" s="710"/>
      <c r="J170" s="710"/>
      <c r="K170" s="710"/>
      <c r="L170" s="149" t="str">
        <f t="shared" si="10"/>
        <v>474D</v>
      </c>
      <c r="M170" s="150" t="str">
        <f t="shared" si="11"/>
        <v>VTE - PIECES COMP. BMW LIFESTYLE</v>
      </c>
      <c r="N170" s="151">
        <f>+IF(OR($Q170=Parametres!$G$2,$Q170=Parametres!$G$3),I170,C170)</f>
        <v>0</v>
      </c>
      <c r="O170" s="497">
        <f>+IF(OR($Q170=Parametres!$G$2,$Q170=Parametres!$G$3),J170,D170)</f>
        <v>-640.02</v>
      </c>
      <c r="P170" s="151">
        <f>+IF(OR($Q170=Parametres!$G$2,$Q170=Parametres!$G$3),K170,E170)</f>
        <v>-640.02</v>
      </c>
      <c r="Q170" s="150" t="str">
        <f t="shared" si="12"/>
        <v>5-Ventes</v>
      </c>
      <c r="R170" s="149" t="str">
        <f t="shared" si="13"/>
        <v>474A</v>
      </c>
      <c r="S170" s="150" t="str">
        <f t="shared" si="14"/>
        <v>_</v>
      </c>
      <c r="T170" s="152" t="str">
        <f>+VLOOKUP($L170,Data_Validation!$A:$D,1,0)</f>
        <v>474D</v>
      </c>
      <c r="U170" s="152" t="str">
        <f>+VLOOKUP($L170,Data_Validation!$A:$D,3,0)</f>
        <v>pièces</v>
      </c>
      <c r="V170" s="152" t="str">
        <f>+VLOOKUP($L170,Data_Validation!$A:$D,4,0)</f>
        <v>Ventes Détails</v>
      </c>
      <c r="W170" s="152" t="str">
        <f>+VLOOKUP($L170,Data_Validation!$A:$E,5,0)</f>
        <v>$</v>
      </c>
      <c r="X170" s="152" t="str">
        <f>+VLOOKUP($L170,Data_Validation!$A:$F,6,0)</f>
        <v>Oui</v>
      </c>
    </row>
    <row r="171" spans="1:24" ht="15" customHeight="1">
      <c r="A171" s="708" t="s">
        <v>1133</v>
      </c>
      <c r="B171" s="708" t="s">
        <v>425</v>
      </c>
      <c r="C171" s="710">
        <v>0</v>
      </c>
      <c r="D171" s="710">
        <v>-3411.36</v>
      </c>
      <c r="E171" s="710">
        <v>-3411.36</v>
      </c>
      <c r="F171" s="708" t="s">
        <v>2006</v>
      </c>
      <c r="G171" s="708" t="s">
        <v>1118</v>
      </c>
      <c r="H171" s="664" t="s">
        <v>3000</v>
      </c>
      <c r="I171" s="664"/>
      <c r="J171" s="664"/>
      <c r="K171" s="664"/>
      <c r="L171" s="149" t="str">
        <f t="shared" si="10"/>
        <v>474E</v>
      </c>
      <c r="M171" s="150" t="str">
        <f t="shared" si="11"/>
        <v>VTE - PIECES COMP. BMW ACCESSOIRE</v>
      </c>
      <c r="N171" s="151">
        <f>+IF(OR($Q171=Parametres!$G$2,$Q171=Parametres!$G$3),I171,C171)</f>
        <v>0</v>
      </c>
      <c r="O171" s="151">
        <f>+IF(OR($Q171=Parametres!$G$2,$Q171=Parametres!$G$3),J171,D171)</f>
        <v>-3411.36</v>
      </c>
      <c r="P171" s="151">
        <f>+IF(OR($Q171=Parametres!$G$2,$Q171=Parametres!$G$3),K171,E171)</f>
        <v>-3411.36</v>
      </c>
      <c r="Q171" s="150" t="str">
        <f t="shared" si="12"/>
        <v>5-Ventes</v>
      </c>
      <c r="R171" s="149" t="str">
        <f t="shared" si="13"/>
        <v>474A</v>
      </c>
      <c r="S171" s="150" t="str">
        <f t="shared" si="14"/>
        <v>_</v>
      </c>
      <c r="T171" s="152" t="str">
        <f>+VLOOKUP($L171,Data_Validation!$A:$D,1,0)</f>
        <v>474E</v>
      </c>
      <c r="U171" s="152" t="str">
        <f>+VLOOKUP($L171,Data_Validation!$A:$D,3,0)</f>
        <v>pièces</v>
      </c>
      <c r="V171" s="152" t="str">
        <f>+VLOOKUP($L171,Data_Validation!$A:$D,4,0)</f>
        <v>Ventes Détails</v>
      </c>
      <c r="W171" s="152" t="str">
        <f>+VLOOKUP($L171,Data_Validation!$A:$E,5,0)</f>
        <v>$</v>
      </c>
      <c r="X171" s="152" t="str">
        <f>+VLOOKUP($L171,Data_Validation!$A:$F,6,0)</f>
        <v>Oui</v>
      </c>
    </row>
    <row r="172" spans="1:24" ht="15.75" customHeight="1">
      <c r="A172" s="708" t="s">
        <v>1166</v>
      </c>
      <c r="B172" s="708" t="s">
        <v>1167</v>
      </c>
      <c r="C172" s="709">
        <v>0</v>
      </c>
      <c r="D172" s="1274">
        <v>-47567.43</v>
      </c>
      <c r="E172" s="1274">
        <v>-47567.43</v>
      </c>
      <c r="F172" s="708" t="s">
        <v>2006</v>
      </c>
      <c r="G172" s="708" t="s">
        <v>1167</v>
      </c>
      <c r="H172" s="709" t="s">
        <v>3000</v>
      </c>
      <c r="I172" s="710"/>
      <c r="J172" s="710"/>
      <c r="K172" s="710"/>
      <c r="L172" s="149" t="str">
        <f t="shared" si="10"/>
        <v>475A</v>
      </c>
      <c r="M172" s="150" t="str">
        <f t="shared" si="11"/>
        <v>VTE - PIECES GROS BMW AUTO</v>
      </c>
      <c r="N172" s="151">
        <f>+IF(OR($Q172=Parametres!$G$2,$Q172=Parametres!$G$3),I172,C172)</f>
        <v>0</v>
      </c>
      <c r="O172" s="498">
        <f>+IF(OR($Q172=Parametres!$G$2,$Q172=Parametres!$G$3),J172,D172)</f>
        <v>-47567.43</v>
      </c>
      <c r="P172" s="151">
        <f>+IF(OR($Q172=Parametres!$G$2,$Q172=Parametres!$G$3),K172,E172)</f>
        <v>-47567.43</v>
      </c>
      <c r="Q172" s="150" t="str">
        <f t="shared" si="12"/>
        <v>5-Ventes</v>
      </c>
      <c r="R172" s="149" t="str">
        <f t="shared" si="13"/>
        <v>475A</v>
      </c>
      <c r="S172" s="150" t="str">
        <f t="shared" si="14"/>
        <v>_</v>
      </c>
      <c r="T172" s="152" t="str">
        <f>+VLOOKUP($L172,Data_Validation!$A:$D,1,0)</f>
        <v>475A</v>
      </c>
      <c r="U172" s="152" t="str">
        <f>+VLOOKUP($L172,Data_Validation!$A:$D,3,0)</f>
        <v>pièces</v>
      </c>
      <c r="V172" s="152" t="str">
        <f>+VLOOKUP($L172,Data_Validation!$A:$D,4,0)</f>
        <v>Ventes de Gros</v>
      </c>
      <c r="W172" s="152" t="str">
        <f>+VLOOKUP($L172,Data_Validation!$A:$E,5,0)</f>
        <v>$</v>
      </c>
      <c r="X172" s="152" t="str">
        <f>+VLOOKUP($L172,Data_Validation!$A:$F,6,0)</f>
        <v>Oui</v>
      </c>
    </row>
    <row r="173" spans="1:24" ht="15" customHeight="1">
      <c r="A173" s="708" t="s">
        <v>422</v>
      </c>
      <c r="B173" s="708" t="s">
        <v>417</v>
      </c>
      <c r="C173" s="710">
        <v>0</v>
      </c>
      <c r="D173" s="710">
        <v>-53238.36</v>
      </c>
      <c r="E173" s="710">
        <v>-53238.36</v>
      </c>
      <c r="F173" s="708" t="s">
        <v>2006</v>
      </c>
      <c r="G173" s="708" t="s">
        <v>417</v>
      </c>
      <c r="H173" s="657" t="s">
        <v>3000</v>
      </c>
      <c r="I173" s="656"/>
      <c r="J173" s="656"/>
      <c r="K173" s="656"/>
      <c r="L173" s="149" t="str">
        <f t="shared" si="10"/>
        <v>488A</v>
      </c>
      <c r="M173" s="150" t="str">
        <f t="shared" si="11"/>
        <v>VTE - PNEUS</v>
      </c>
      <c r="N173" s="151">
        <f>+IF(OR($Q173=Parametres!$G$2,$Q173=Parametres!$G$3),I173,C173)</f>
        <v>0</v>
      </c>
      <c r="O173" s="151">
        <f>+IF(OR($Q173=Parametres!$G$2,$Q173=Parametres!$G$3),J173,D173)</f>
        <v>-53238.36</v>
      </c>
      <c r="P173" s="151">
        <f>+IF(OR($Q173=Parametres!$G$2,$Q173=Parametres!$G$3),K173,E173)</f>
        <v>-53238.36</v>
      </c>
      <c r="Q173" s="150" t="str">
        <f t="shared" si="12"/>
        <v>5-Ventes</v>
      </c>
      <c r="R173" s="149" t="str">
        <f t="shared" si="13"/>
        <v>488A</v>
      </c>
      <c r="S173" s="150" t="str">
        <f t="shared" si="14"/>
        <v>_</v>
      </c>
      <c r="T173" s="152" t="str">
        <f>+VLOOKUP($L173,Data_Validation!$A:$D,1,0)</f>
        <v>488A</v>
      </c>
      <c r="U173" s="152" t="str">
        <f>+VLOOKUP($L173,Data_Validation!$A:$D,3,0)</f>
        <v>pièces</v>
      </c>
      <c r="V173" s="152" t="str">
        <f>+VLOOKUP($L173,Data_Validation!$A:$D,4,0)</f>
        <v>Ventes Pneus</v>
      </c>
      <c r="W173" s="152" t="str">
        <f>+VLOOKUP($L173,Data_Validation!$A:$E,5,0)</f>
        <v>$</v>
      </c>
      <c r="X173" s="152" t="str">
        <f>+VLOOKUP($L173,Data_Validation!$A:$F,6,0)</f>
        <v>Oui</v>
      </c>
    </row>
    <row r="174" spans="1:24" ht="15" customHeight="1">
      <c r="A174" s="708" t="s">
        <v>1146</v>
      </c>
      <c r="B174" s="708" t="s">
        <v>445</v>
      </c>
      <c r="C174" s="709">
        <v>0</v>
      </c>
      <c r="D174" s="1274">
        <v>-2841.95</v>
      </c>
      <c r="E174" s="1274">
        <v>-2841.95</v>
      </c>
      <c r="F174" s="708" t="s">
        <v>2006</v>
      </c>
      <c r="G174" s="708" t="s">
        <v>445</v>
      </c>
      <c r="H174" s="709" t="s">
        <v>3000</v>
      </c>
      <c r="I174" s="710"/>
      <c r="J174" s="710"/>
      <c r="K174" s="710"/>
      <c r="L174" s="149" t="str">
        <f t="shared" si="10"/>
        <v>489A</v>
      </c>
      <c r="M174" s="150" t="str">
        <f t="shared" si="11"/>
        <v>VTE - HUILES &amp; GRAISSES</v>
      </c>
      <c r="N174" s="151">
        <f>+IF(OR($Q174=Parametres!$G$2,$Q174=Parametres!$G$3),I174,C174)</f>
        <v>0</v>
      </c>
      <c r="O174" s="498">
        <f>+IF(OR($Q174=Parametres!$G$2,$Q174=Parametres!$G$3),J174,D174)</f>
        <v>-2841.95</v>
      </c>
      <c r="P174" s="151">
        <f>+IF(OR($Q174=Parametres!$G$2,$Q174=Parametres!$G$3),K174,E174)</f>
        <v>-2841.95</v>
      </c>
      <c r="Q174" s="150" t="str">
        <f t="shared" si="12"/>
        <v>5-Ventes</v>
      </c>
      <c r="R174" s="149" t="str">
        <f t="shared" si="13"/>
        <v>489A</v>
      </c>
      <c r="S174" s="150" t="str">
        <f t="shared" si="14"/>
        <v>_</v>
      </c>
      <c r="T174" s="152" t="str">
        <f>+VLOOKUP($L174,Data_Validation!$A:$D,1,0)</f>
        <v>489A</v>
      </c>
      <c r="U174" s="152" t="str">
        <f>+VLOOKUP($L174,Data_Validation!$A:$D,3,0)</f>
        <v>pièces</v>
      </c>
      <c r="V174" s="152" t="str">
        <f>+VLOOKUP($L174,Data_Validation!$A:$D,4,0)</f>
        <v>Huiles et Graisse</v>
      </c>
      <c r="W174" s="152" t="str">
        <f>+VLOOKUP($L174,Data_Validation!$A:$E,5,0)</f>
        <v>$</v>
      </c>
      <c r="X174" s="152" t="str">
        <f>+VLOOKUP($L174,Data_Validation!$A:$F,6,0)</f>
        <v>Oui</v>
      </c>
    </row>
    <row r="175" spans="1:24" ht="15" customHeight="1">
      <c r="A175" s="708" t="s">
        <v>1150</v>
      </c>
      <c r="B175" s="708" t="s">
        <v>1151</v>
      </c>
      <c r="C175" s="710">
        <v>0</v>
      </c>
      <c r="D175" s="710">
        <v>-5263.12</v>
      </c>
      <c r="E175" s="710">
        <v>-5263.12</v>
      </c>
      <c r="F175" s="708" t="s">
        <v>2006</v>
      </c>
      <c r="G175" s="708" t="s">
        <v>445</v>
      </c>
      <c r="H175" s="664" t="s">
        <v>3000</v>
      </c>
      <c r="I175" s="663"/>
      <c r="J175" s="663"/>
      <c r="K175" s="663"/>
      <c r="L175" s="149" t="str">
        <f t="shared" si="10"/>
        <v>489B</v>
      </c>
      <c r="M175" s="150" t="str">
        <f t="shared" si="11"/>
        <v>VTE - HUILE &amp; GRAISSE</v>
      </c>
      <c r="N175" s="151">
        <f>+IF(OR($Q175=Parametres!$G$2,$Q175=Parametres!$G$3),I175,C175)</f>
        <v>0</v>
      </c>
      <c r="O175" s="151">
        <f>+IF(OR($Q175=Parametres!$G$2,$Q175=Parametres!$G$3),J175,D175)</f>
        <v>-5263.12</v>
      </c>
      <c r="P175" s="151">
        <f>+IF(OR($Q175=Parametres!$G$2,$Q175=Parametres!$G$3),K175,E175)</f>
        <v>-5263.12</v>
      </c>
      <c r="Q175" s="150" t="str">
        <f t="shared" si="12"/>
        <v>5-Ventes</v>
      </c>
      <c r="R175" s="149" t="str">
        <f t="shared" si="13"/>
        <v>489A</v>
      </c>
      <c r="S175" s="150" t="str">
        <f t="shared" si="14"/>
        <v>_</v>
      </c>
      <c r="T175" s="152" t="str">
        <f>+VLOOKUP($L175,Data_Validation!$A:$D,1,0)</f>
        <v>489B</v>
      </c>
      <c r="U175" s="152" t="str">
        <f>+VLOOKUP($L175,Data_Validation!$A:$D,3,0)</f>
        <v>pièces</v>
      </c>
      <c r="V175" s="152" t="str">
        <f>+VLOOKUP($L175,Data_Validation!$A:$D,4,0)</f>
        <v>Huiles et Graisse</v>
      </c>
      <c r="W175" s="152" t="str">
        <f>+VLOOKUP($L175,Data_Validation!$A:$E,5,0)</f>
        <v>$</v>
      </c>
      <c r="X175" s="152" t="str">
        <f>+VLOOKUP($L175,Data_Validation!$A:$F,6,0)</f>
        <v>Oui</v>
      </c>
    </row>
    <row r="176" spans="1:24" ht="15.75" customHeight="1">
      <c r="A176" s="708" t="s">
        <v>1978</v>
      </c>
      <c r="B176" s="708" t="s">
        <v>1980</v>
      </c>
      <c r="C176" s="710">
        <v>0</v>
      </c>
      <c r="D176" s="710">
        <v>82037.34</v>
      </c>
      <c r="E176" s="710">
        <v>82037.34</v>
      </c>
      <c r="F176" s="708" t="s">
        <v>2014</v>
      </c>
      <c r="G176" s="708" t="s">
        <v>1979</v>
      </c>
      <c r="H176" s="664" t="s">
        <v>3000</v>
      </c>
      <c r="I176" s="663"/>
      <c r="J176" s="663"/>
      <c r="K176" s="663"/>
      <c r="L176" s="149" t="str">
        <f t="shared" si="10"/>
        <v>612C</v>
      </c>
      <c r="M176" s="150" t="str">
        <f t="shared" si="11"/>
        <v>M340I XDRIVE</v>
      </c>
      <c r="N176" s="151">
        <f>+IF(OR($Q176=Parametres!$G$2,$Q176=Parametres!$G$3),I176,C176)</f>
        <v>0</v>
      </c>
      <c r="O176" s="151">
        <f>+IF(OR($Q176=Parametres!$G$2,$Q176=Parametres!$G$3),J176,D176)</f>
        <v>82037.34</v>
      </c>
      <c r="P176" s="151">
        <f>+IF(OR($Q176=Parametres!$G$2,$Q176=Parametres!$G$3),K176,E176)</f>
        <v>82037.34</v>
      </c>
      <c r="Q176" s="150" t="str">
        <f t="shared" si="12"/>
        <v>6-Coût des ventes</v>
      </c>
      <c r="R176" s="149" t="str">
        <f t="shared" si="13"/>
        <v>412C</v>
      </c>
      <c r="S176" s="150" t="str">
        <f t="shared" si="14"/>
        <v>_</v>
      </c>
      <c r="T176" s="152" t="str">
        <f>+VLOOKUP($L176,Data_Validation!$A:$D,1,0)</f>
        <v>612C</v>
      </c>
      <c r="U176" s="152" t="str">
        <f>+VLOOKUP($L176,Data_Validation!$A:$D,3,0)</f>
        <v>Véhicules neufs</v>
      </c>
      <c r="V176" s="152" t="str">
        <f>+VLOOKUP($L176,Data_Validation!$A:$D,4,0)</f>
        <v>Autos détail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08" t="s">
        <v>1842</v>
      </c>
      <c r="B177" s="708" t="s">
        <v>979</v>
      </c>
      <c r="C177" s="710">
        <v>0</v>
      </c>
      <c r="D177" s="710">
        <v>58128.11</v>
      </c>
      <c r="E177" s="710">
        <v>58128.11</v>
      </c>
      <c r="F177" s="708" t="s">
        <v>2014</v>
      </c>
      <c r="G177" s="708" t="s">
        <v>410</v>
      </c>
      <c r="H177" s="664" t="s">
        <v>3000</v>
      </c>
      <c r="I177" s="663"/>
      <c r="J177" s="663"/>
      <c r="K177" s="663"/>
      <c r="L177" s="149" t="str">
        <f t="shared" si="10"/>
        <v>616</v>
      </c>
      <c r="M177" s="150" t="str">
        <f t="shared" si="11"/>
        <v>C/V - X1 XDRIVE 28I</v>
      </c>
      <c r="N177" s="151">
        <f>+IF(OR($Q177=Parametres!$G$2,$Q177=Parametres!$G$3),I177,C177)</f>
        <v>0</v>
      </c>
      <c r="O177" s="151">
        <f>+IF(OR($Q177=Parametres!$G$2,$Q177=Parametres!$G$3),J177,D177)</f>
        <v>58128.11</v>
      </c>
      <c r="P177" s="151">
        <f>+IF(OR($Q177=Parametres!$G$2,$Q177=Parametres!$G$3),K177,E177)</f>
        <v>58128.11</v>
      </c>
      <c r="Q177" s="150" t="str">
        <f t="shared" si="12"/>
        <v>6-Coût des ventes</v>
      </c>
      <c r="R177" s="149" t="str">
        <f t="shared" si="13"/>
        <v>416</v>
      </c>
      <c r="S177" s="150" t="str">
        <f t="shared" si="14"/>
        <v>_</v>
      </c>
      <c r="T177" s="152" t="str">
        <f>+VLOOKUP($L177,Data_Validation!$A:$D,1,0)</f>
        <v>616</v>
      </c>
      <c r="U177" s="152" t="str">
        <f>+VLOOKUP($L177,Data_Validation!$A:$D,3,0)</f>
        <v>Véhicules neufs</v>
      </c>
      <c r="V177" s="152" t="str">
        <f>+VLOOKUP($L177,Data_Validation!$A:$D,4,0)</f>
        <v>Camions détail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1104</v>
      </c>
      <c r="B178" s="708" t="s">
        <v>426</v>
      </c>
      <c r="C178" s="710">
        <v>0</v>
      </c>
      <c r="D178" s="710">
        <v>-32718</v>
      </c>
      <c r="E178" s="710">
        <v>-32718</v>
      </c>
      <c r="F178" s="708" t="s">
        <v>2014</v>
      </c>
      <c r="G178" s="708" t="s">
        <v>2251</v>
      </c>
      <c r="H178" s="664" t="s">
        <v>3000</v>
      </c>
      <c r="I178" s="663"/>
      <c r="J178" s="663"/>
      <c r="K178" s="663"/>
      <c r="L178" s="149" t="str">
        <f t="shared" si="10"/>
        <v>617A</v>
      </c>
      <c r="M178" s="150" t="str">
        <f t="shared" si="11"/>
        <v>RESERVE DETAILLANT</v>
      </c>
      <c r="N178" s="151">
        <f>+IF(OR($Q178=Parametres!$G$2,$Q178=Parametres!$G$3),I178,C178)</f>
        <v>0</v>
      </c>
      <c r="O178" s="151">
        <f>+IF(OR($Q178=Parametres!$G$2,$Q178=Parametres!$G$3),J178,D178)</f>
        <v>-32718</v>
      </c>
      <c r="P178" s="151">
        <f>+IF(OR($Q178=Parametres!$G$2,$Q178=Parametres!$G$3),K178,E178)</f>
        <v>-32718</v>
      </c>
      <c r="Q178" s="150" t="str">
        <f t="shared" si="12"/>
        <v>6-Coût des ventes</v>
      </c>
      <c r="R178" s="149" t="str">
        <f t="shared" si="13"/>
        <v>617</v>
      </c>
      <c r="S178" s="150" t="str">
        <f t="shared" si="14"/>
        <v>_</v>
      </c>
      <c r="T178" s="152" t="str">
        <f>+VLOOKUP($L178,Data_Validation!$A:$D,1,0)</f>
        <v>617A</v>
      </c>
      <c r="U178" s="152" t="str">
        <f>+VLOOKUP($L178,Data_Validation!$A:$D,3,0)</f>
        <v>Véhicules neufs</v>
      </c>
      <c r="V178" s="152" t="str">
        <f>+VLOOKUP($L178,Data_Validation!$A:$D,4,0)</f>
        <v>holdbacks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1425</v>
      </c>
      <c r="B179" s="708" t="s">
        <v>971</v>
      </c>
      <c r="C179" s="710">
        <v>0</v>
      </c>
      <c r="D179" s="710">
        <v>255681.06</v>
      </c>
      <c r="E179" s="710">
        <v>255681.06</v>
      </c>
      <c r="F179" s="708" t="s">
        <v>2014</v>
      </c>
      <c r="G179" s="708" t="s">
        <v>423</v>
      </c>
      <c r="H179" s="664" t="s">
        <v>3000</v>
      </c>
      <c r="I179" s="663"/>
      <c r="J179" s="663"/>
      <c r="K179" s="663"/>
      <c r="L179" s="149" t="str">
        <f t="shared" si="10"/>
        <v>619</v>
      </c>
      <c r="M179" s="150" t="str">
        <f t="shared" si="11"/>
        <v>C/V - FLEET VOITURE BMW</v>
      </c>
      <c r="N179" s="151">
        <f>+IF(OR($Q179=Parametres!$G$2,$Q179=Parametres!$G$3),I179,C179)</f>
        <v>0</v>
      </c>
      <c r="O179" s="151">
        <f>+IF(OR($Q179=Parametres!$G$2,$Q179=Parametres!$G$3),J179,D179)</f>
        <v>255681.06</v>
      </c>
      <c r="P179" s="151">
        <f>+IF(OR($Q179=Parametres!$G$2,$Q179=Parametres!$G$3),K179,E179)</f>
        <v>255681.06</v>
      </c>
      <c r="Q179" s="150" t="str">
        <f t="shared" si="12"/>
        <v>6-Coût des ventes</v>
      </c>
      <c r="R179" s="149" t="str">
        <f t="shared" si="13"/>
        <v>419</v>
      </c>
      <c r="S179" s="150" t="str">
        <f t="shared" si="14"/>
        <v>_</v>
      </c>
      <c r="T179" s="152" t="str">
        <f>+VLOOKUP($L179,Data_Validation!$A:$D,1,0)</f>
        <v>619</v>
      </c>
      <c r="U179" s="152" t="str">
        <f>+VLOOKUP($L179,Data_Validation!$A:$D,3,0)</f>
        <v>Véhicules neufs</v>
      </c>
      <c r="V179" s="152" t="str">
        <f>+VLOOKUP($L179,Data_Validation!$A:$D,4,0)</f>
        <v>Flottes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1426</v>
      </c>
      <c r="B180" s="708" t="s">
        <v>977</v>
      </c>
      <c r="C180" s="710">
        <v>0</v>
      </c>
      <c r="D180" s="710">
        <v>71858.23</v>
      </c>
      <c r="E180" s="710">
        <v>71858.23</v>
      </c>
      <c r="F180" s="708" t="s">
        <v>2014</v>
      </c>
      <c r="G180" s="708" t="s">
        <v>412</v>
      </c>
      <c r="H180" s="664" t="s">
        <v>3000</v>
      </c>
      <c r="I180" s="663"/>
      <c r="J180" s="663"/>
      <c r="K180" s="663"/>
      <c r="L180" s="149" t="str">
        <f t="shared" si="10"/>
        <v>619A</v>
      </c>
      <c r="M180" s="150" t="str">
        <f t="shared" si="11"/>
        <v>C/V - FLEET CAMION BMW</v>
      </c>
      <c r="N180" s="151">
        <f>+IF(OR($Q180=Parametres!$G$2,$Q180=Parametres!$G$3),I180,C180)</f>
        <v>0</v>
      </c>
      <c r="O180" s="151">
        <f>+IF(OR($Q180=Parametres!$G$2,$Q180=Parametres!$G$3),J180,D180)</f>
        <v>71858.23</v>
      </c>
      <c r="P180" s="151">
        <f>+IF(OR($Q180=Parametres!$G$2,$Q180=Parametres!$G$3),K180,E180)</f>
        <v>71858.23</v>
      </c>
      <c r="Q180" s="150" t="str">
        <f t="shared" si="12"/>
        <v>6-Coût des ventes</v>
      </c>
      <c r="R180" s="149" t="str">
        <f t="shared" si="13"/>
        <v>419A</v>
      </c>
      <c r="S180" s="150" t="str">
        <f t="shared" si="14"/>
        <v>_</v>
      </c>
      <c r="T180" s="152" t="str">
        <f>+VLOOKUP($L180,Data_Validation!$A:$D,1,0)</f>
        <v>619A</v>
      </c>
      <c r="U180" s="152" t="str">
        <f>+VLOOKUP($L180,Data_Validation!$A:$D,3,0)</f>
        <v>Véhicules neufs</v>
      </c>
      <c r="V180" s="152" t="str">
        <f>+VLOOKUP($L180,Data_Validation!$A:$D,4,0)</f>
        <v>Flottes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2551</v>
      </c>
      <c r="B181" s="708" t="s">
        <v>2552</v>
      </c>
      <c r="C181" s="710">
        <v>0</v>
      </c>
      <c r="D181" s="710">
        <v>251124.96</v>
      </c>
      <c r="E181" s="710">
        <v>251124.96</v>
      </c>
      <c r="F181" s="708" t="s">
        <v>2014</v>
      </c>
      <c r="G181" s="708" t="s">
        <v>2550</v>
      </c>
      <c r="H181" s="657" t="s">
        <v>3000</v>
      </c>
      <c r="I181" s="656"/>
      <c r="J181" s="656"/>
      <c r="K181" s="656"/>
      <c r="L181" s="149" t="str">
        <f t="shared" si="10"/>
        <v>622C</v>
      </c>
      <c r="M181" s="150" t="str">
        <f t="shared" si="11"/>
        <v>C/V - X6 M60i</v>
      </c>
      <c r="N181" s="151">
        <f>+IF(OR($Q181=Parametres!$G$2,$Q181=Parametres!$G$3),I181,C181)</f>
        <v>0</v>
      </c>
      <c r="O181" s="151">
        <f>+IF(OR($Q181=Parametres!$G$2,$Q181=Parametres!$G$3),J181,D181)</f>
        <v>251124.96</v>
      </c>
      <c r="P181" s="151">
        <f>+IF(OR($Q181=Parametres!$G$2,$Q181=Parametres!$G$3),K181,E181)</f>
        <v>251124.96</v>
      </c>
      <c r="Q181" s="150" t="str">
        <f t="shared" si="12"/>
        <v>6-Coût des ventes</v>
      </c>
      <c r="R181" s="149" t="str">
        <f t="shared" si="13"/>
        <v>422C</v>
      </c>
      <c r="S181" s="150" t="str">
        <f t="shared" si="14"/>
        <v>_</v>
      </c>
      <c r="T181" s="152" t="str">
        <f>+VLOOKUP($L181,Data_Validation!$A:$D,1,0)</f>
        <v>622C</v>
      </c>
      <c r="U181" s="152" t="str">
        <f>+VLOOKUP($L181,Data_Validation!$A:$D,3,0)</f>
        <v>Véhicules neufs</v>
      </c>
      <c r="V181" s="152" t="str">
        <f>+VLOOKUP($L181,Data_Validation!$A:$D,4,0)</f>
        <v>Camions détail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2487</v>
      </c>
      <c r="B182" s="708" t="s">
        <v>2488</v>
      </c>
      <c r="C182" s="710">
        <v>0</v>
      </c>
      <c r="D182" s="710">
        <v>110329.21</v>
      </c>
      <c r="E182" s="710">
        <v>110329.21</v>
      </c>
      <c r="F182" s="708" t="s">
        <v>2014</v>
      </c>
      <c r="G182" s="708" t="s">
        <v>2486</v>
      </c>
      <c r="H182" s="657" t="s">
        <v>3000</v>
      </c>
      <c r="I182" s="656"/>
      <c r="J182" s="656"/>
      <c r="K182" s="656"/>
      <c r="L182" s="149" t="str">
        <f t="shared" si="10"/>
        <v>623F</v>
      </c>
      <c r="M182" s="150" t="str">
        <f t="shared" si="11"/>
        <v>C/V - X5 xDRIVE50e</v>
      </c>
      <c r="N182" s="151">
        <f>+IF(OR($Q182=Parametres!$G$2,$Q182=Parametres!$G$3),I182,C182)</f>
        <v>0</v>
      </c>
      <c r="O182" s="151">
        <f>+IF(OR($Q182=Parametres!$G$2,$Q182=Parametres!$G$3),J182,D182)</f>
        <v>110329.21</v>
      </c>
      <c r="P182" s="151">
        <f>+IF(OR($Q182=Parametres!$G$2,$Q182=Parametres!$G$3),K182,E182)</f>
        <v>110329.21</v>
      </c>
      <c r="Q182" s="150" t="str">
        <f t="shared" si="12"/>
        <v>6-Coût des ventes</v>
      </c>
      <c r="R182" s="149" t="str">
        <f t="shared" si="13"/>
        <v>423F</v>
      </c>
      <c r="S182" s="150" t="str">
        <f t="shared" si="14"/>
        <v>_</v>
      </c>
      <c r="T182" s="152" t="str">
        <f>+VLOOKUP($L182,Data_Validation!$A:$D,1,0)</f>
        <v>623F</v>
      </c>
      <c r="U182" s="152" t="str">
        <f>+VLOOKUP($L182,Data_Validation!$A:$D,3,0)</f>
        <v>Véhicules neufs</v>
      </c>
      <c r="V182" s="152" t="str">
        <f>+VLOOKUP($L182,Data_Validation!$A:$D,4,0)</f>
        <v>Camions détail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660</v>
      </c>
      <c r="B183" s="708" t="s">
        <v>661</v>
      </c>
      <c r="C183" s="710">
        <v>0</v>
      </c>
      <c r="D183" s="710">
        <v>164335.22</v>
      </c>
      <c r="E183" s="710">
        <v>164335.22</v>
      </c>
      <c r="F183" s="708" t="s">
        <v>2014</v>
      </c>
      <c r="G183" s="708" t="s">
        <v>623</v>
      </c>
      <c r="H183" s="664" t="s">
        <v>3000</v>
      </c>
      <c r="I183" s="663"/>
      <c r="J183" s="663"/>
      <c r="K183" s="663"/>
      <c r="L183" s="149" t="str">
        <f t="shared" si="10"/>
        <v>628</v>
      </c>
      <c r="M183" s="150" t="str">
        <f t="shared" si="11"/>
        <v>C/V - X6 M</v>
      </c>
      <c r="N183" s="151">
        <f>+IF(OR($Q183=Parametres!$G$2,$Q183=Parametres!$G$3),I183,C183)</f>
        <v>0</v>
      </c>
      <c r="O183" s="151">
        <f>+IF(OR($Q183=Parametres!$G$2,$Q183=Parametres!$G$3),J183,D183)</f>
        <v>164335.22</v>
      </c>
      <c r="P183" s="151">
        <f>+IF(OR($Q183=Parametres!$G$2,$Q183=Parametres!$G$3),K183,E183)</f>
        <v>164335.22</v>
      </c>
      <c r="Q183" s="150" t="str">
        <f t="shared" si="12"/>
        <v>6-Coût des ventes</v>
      </c>
      <c r="R183" s="149" t="str">
        <f t="shared" si="13"/>
        <v>428</v>
      </c>
      <c r="S183" s="150" t="str">
        <f t="shared" si="14"/>
        <v>_</v>
      </c>
      <c r="T183" s="152" t="str">
        <f>+VLOOKUP($L183,Data_Validation!$A:$D,1,0)</f>
        <v>628</v>
      </c>
      <c r="U183" s="152" t="str">
        <f>+VLOOKUP($L183,Data_Validation!$A:$D,3,0)</f>
        <v>Véhicules neufs</v>
      </c>
      <c r="V183" s="152" t="str">
        <f>+VLOOKUP($L183,Data_Validation!$A:$D,4,0)</f>
        <v>Camions détail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1028</v>
      </c>
      <c r="B184" s="708" t="s">
        <v>981</v>
      </c>
      <c r="C184" s="710">
        <v>0</v>
      </c>
      <c r="D184" s="710">
        <v>90651.99</v>
      </c>
      <c r="E184" s="710">
        <v>90651.99</v>
      </c>
      <c r="F184" s="708" t="s">
        <v>2014</v>
      </c>
      <c r="G184" s="708" t="s">
        <v>407</v>
      </c>
      <c r="H184" s="657" t="s">
        <v>3000</v>
      </c>
      <c r="I184" s="656"/>
      <c r="J184" s="656"/>
      <c r="K184" s="656"/>
      <c r="L184" s="149" t="str">
        <f t="shared" si="10"/>
        <v>629C</v>
      </c>
      <c r="M184" s="150" t="str">
        <f t="shared" si="11"/>
        <v>C/V - X4 M40I XDRIVE</v>
      </c>
      <c r="N184" s="151">
        <f>+IF(OR($Q184=Parametres!$G$2,$Q184=Parametres!$G$3),I184,C184)</f>
        <v>0</v>
      </c>
      <c r="O184" s="151">
        <f>+IF(OR($Q184=Parametres!$G$2,$Q184=Parametres!$G$3),J184,D184)</f>
        <v>90651.99</v>
      </c>
      <c r="P184" s="151">
        <f>+IF(OR($Q184=Parametres!$G$2,$Q184=Parametres!$G$3),K184,E184)</f>
        <v>90651.99</v>
      </c>
      <c r="Q184" s="150" t="str">
        <f t="shared" si="12"/>
        <v>6-Coût des ventes</v>
      </c>
      <c r="R184" s="149" t="str">
        <f t="shared" si="13"/>
        <v>429C</v>
      </c>
      <c r="S184" s="150" t="str">
        <f t="shared" si="14"/>
        <v>_</v>
      </c>
      <c r="T184" s="152" t="str">
        <f>+VLOOKUP($L184,Data_Validation!$A:$D,1,0)</f>
        <v>629C</v>
      </c>
      <c r="U184" s="152" t="str">
        <f>+VLOOKUP($L184,Data_Validation!$A:$D,3,0)</f>
        <v>Véhicules neufs</v>
      </c>
      <c r="V184" s="152" t="str">
        <f>+VLOOKUP($L184,Data_Validation!$A:$D,4,0)</f>
        <v>Camions détail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1871</v>
      </c>
      <c r="B185" s="708" t="s">
        <v>373</v>
      </c>
      <c r="C185" s="710">
        <v>0</v>
      </c>
      <c r="D185" s="710">
        <v>153038.48000000001</v>
      </c>
      <c r="E185" s="710">
        <v>153038.48000000001</v>
      </c>
      <c r="F185" s="708" t="s">
        <v>2014</v>
      </c>
      <c r="G185" s="708" t="s">
        <v>625</v>
      </c>
      <c r="H185" s="709" t="s">
        <v>3000</v>
      </c>
      <c r="I185" s="709"/>
      <c r="J185" s="709"/>
      <c r="K185" s="709"/>
      <c r="L185" s="149" t="str">
        <f t="shared" si="10"/>
        <v>630</v>
      </c>
      <c r="M185" s="150" t="str">
        <f t="shared" si="11"/>
        <v>C/V - M5 SEDAN</v>
      </c>
      <c r="N185" s="151">
        <f>+IF(OR($Q185=Parametres!$G$2,$Q185=Parametres!$G$3),I185,C185)</f>
        <v>0</v>
      </c>
      <c r="O185" s="151">
        <f>+IF(OR($Q185=Parametres!$G$2,$Q185=Parametres!$G$3),J185,D185)</f>
        <v>153038.48000000001</v>
      </c>
      <c r="P185" s="151">
        <f>+IF(OR($Q185=Parametres!$G$2,$Q185=Parametres!$G$3),K185,E185)</f>
        <v>153038.48000000001</v>
      </c>
      <c r="Q185" s="150" t="str">
        <f t="shared" si="12"/>
        <v>6-Coût des ventes</v>
      </c>
      <c r="R185" s="149" t="str">
        <f t="shared" si="13"/>
        <v>430</v>
      </c>
      <c r="S185" s="150" t="str">
        <f t="shared" si="14"/>
        <v>_</v>
      </c>
      <c r="T185" s="152" t="str">
        <f>+VLOOKUP($L185,Data_Validation!$A:$D,1,0)</f>
        <v>630</v>
      </c>
      <c r="U185" s="152" t="str">
        <f>+VLOOKUP($L185,Data_Validation!$A:$D,3,0)</f>
        <v>Véhicules neufs</v>
      </c>
      <c r="V185" s="152" t="str">
        <f>+VLOOKUP($L185,Data_Validation!$A:$D,4,0)</f>
        <v>Autos détail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1707</v>
      </c>
      <c r="B186" s="708" t="s">
        <v>1708</v>
      </c>
      <c r="C186" s="710">
        <v>0</v>
      </c>
      <c r="D186" s="710">
        <v>1122</v>
      </c>
      <c r="E186" s="710">
        <v>1122</v>
      </c>
      <c r="F186" s="708" t="s">
        <v>2014</v>
      </c>
      <c r="G186" s="708" t="s">
        <v>625</v>
      </c>
      <c r="H186" s="664" t="s">
        <v>3000</v>
      </c>
      <c r="I186" s="663"/>
      <c r="J186" s="663"/>
      <c r="K186" s="663"/>
      <c r="L186" s="149" t="str">
        <f t="shared" si="10"/>
        <v>630A</v>
      </c>
      <c r="M186" s="150" t="str">
        <f t="shared" si="11"/>
        <v>C/V - MARQUAGE OTOPROTEC NEUF BMW AUTO</v>
      </c>
      <c r="N186" s="151">
        <f>+IF(OR($Q186=Parametres!$G$2,$Q186=Parametres!$G$3),I186,C186)</f>
        <v>0</v>
      </c>
      <c r="O186" s="494">
        <f>+IF(OR($Q186=Parametres!$G$2,$Q186=Parametres!$G$3),J186,D186)</f>
        <v>1122</v>
      </c>
      <c r="P186" s="151">
        <f>+IF(OR($Q186=Parametres!$G$2,$Q186=Parametres!$G$3),K186,E186)</f>
        <v>1122</v>
      </c>
      <c r="Q186" s="150" t="str">
        <f t="shared" si="12"/>
        <v>6-Coût des ventes</v>
      </c>
      <c r="R186" s="149" t="str">
        <f t="shared" si="13"/>
        <v>430</v>
      </c>
      <c r="S186" s="150" t="str">
        <f t="shared" si="14"/>
        <v>_</v>
      </c>
      <c r="T186" s="152" t="str">
        <f>+VLOOKUP($L186,Data_Validation!$A:$D,1,0)</f>
        <v>630A</v>
      </c>
      <c r="U186" s="152" t="str">
        <f>+VLOOKUP($L186,Data_Validation!$A:$D,3,0)</f>
        <v>Véhicules neufs</v>
      </c>
      <c r="V186" s="152" t="str">
        <f>+VLOOKUP($L186,Data_Validation!$A:$D,4,0)</f>
        <v>Rev. Autres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1431</v>
      </c>
      <c r="B187" s="708" t="s">
        <v>1432</v>
      </c>
      <c r="C187" s="710">
        <v>0</v>
      </c>
      <c r="D187" s="710">
        <v>10218</v>
      </c>
      <c r="E187" s="710">
        <v>10218</v>
      </c>
      <c r="F187" s="708" t="s">
        <v>2014</v>
      </c>
      <c r="G187" s="708" t="s">
        <v>625</v>
      </c>
      <c r="H187" s="600" t="s">
        <v>3000</v>
      </c>
      <c r="I187" s="153"/>
      <c r="J187" s="153"/>
      <c r="K187" s="153"/>
      <c r="L187" s="149" t="str">
        <f t="shared" si="10"/>
        <v>630C</v>
      </c>
      <c r="M187" s="150" t="str">
        <f t="shared" si="11"/>
        <v>C/V - ACCESSOIRES NEUF BMW AUTO</v>
      </c>
      <c r="N187" s="151">
        <f>+IF(OR($Q187=Parametres!$G$2,$Q187=Parametres!$G$3),I187,C187)</f>
        <v>0</v>
      </c>
      <c r="O187" s="151">
        <f>+IF(OR($Q187=Parametres!$G$2,$Q187=Parametres!$G$3),J187,D187)</f>
        <v>10218</v>
      </c>
      <c r="P187" s="151">
        <f>+IF(OR($Q187=Parametres!$G$2,$Q187=Parametres!$G$3),K187,E187)</f>
        <v>10218</v>
      </c>
      <c r="Q187" s="150" t="str">
        <f t="shared" si="12"/>
        <v>6-Coût des ventes</v>
      </c>
      <c r="R187" s="149" t="str">
        <f t="shared" si="13"/>
        <v>430</v>
      </c>
      <c r="S187" s="150" t="str">
        <f t="shared" si="14"/>
        <v>_</v>
      </c>
      <c r="T187" s="152" t="str">
        <f>+VLOOKUP($L187,Data_Validation!$A:$D,1,0)</f>
        <v>630C</v>
      </c>
      <c r="U187" s="152" t="str">
        <f>+VLOOKUP($L187,Data_Validation!$A:$D,3,0)</f>
        <v>Véhicules neufs</v>
      </c>
      <c r="V187" s="152" t="str">
        <f>+VLOOKUP($L187,Data_Validation!$A:$D,4,0)</f>
        <v>Rev. Autres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08" t="s">
        <v>1714</v>
      </c>
      <c r="B188" s="708" t="s">
        <v>1715</v>
      </c>
      <c r="C188" s="710">
        <v>0</v>
      </c>
      <c r="D188" s="710">
        <v>3285</v>
      </c>
      <c r="E188" s="710">
        <v>3285</v>
      </c>
      <c r="F188" s="708" t="s">
        <v>2014</v>
      </c>
      <c r="G188" s="708" t="s">
        <v>625</v>
      </c>
      <c r="H188" s="600" t="s">
        <v>3000</v>
      </c>
      <c r="I188" s="153"/>
      <c r="J188" s="153"/>
      <c r="K188" s="153"/>
      <c r="L188" s="149" t="str">
        <f t="shared" si="10"/>
        <v>630E</v>
      </c>
      <c r="M188" s="150" t="str">
        <f t="shared" si="11"/>
        <v>C/V - PROTEC ESTHETIQUE NAUF BMW AUTO</v>
      </c>
      <c r="N188" s="151">
        <f>+IF(OR($Q188=Parametres!$G$2,$Q188=Parametres!$G$3),I188,C188)</f>
        <v>0</v>
      </c>
      <c r="O188" s="499">
        <f>+IF(OR($Q188=Parametres!$G$2,$Q188=Parametres!$G$3),J188,D188)</f>
        <v>3285</v>
      </c>
      <c r="P188" s="151">
        <f>+IF(OR($Q188=Parametres!$G$2,$Q188=Parametres!$G$3),K188,E188)</f>
        <v>3285</v>
      </c>
      <c r="Q188" s="150" t="str">
        <f t="shared" si="12"/>
        <v>6-Coût des ventes</v>
      </c>
      <c r="R188" s="149" t="str">
        <f t="shared" si="13"/>
        <v>430</v>
      </c>
      <c r="S188" s="150" t="str">
        <f t="shared" si="14"/>
        <v>_</v>
      </c>
      <c r="T188" s="152" t="str">
        <f>+VLOOKUP($L188,Data_Validation!$A:$D,1,0)</f>
        <v>630E</v>
      </c>
      <c r="U188" s="152" t="str">
        <f>+VLOOKUP($L188,Data_Validation!$A:$D,3,0)</f>
        <v>Véhicules neufs</v>
      </c>
      <c r="V188" s="152" t="str">
        <f>+VLOOKUP($L188,Data_Validation!$A:$D,4,0)</f>
        <v>Rev. Protections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3016</v>
      </c>
      <c r="B189" s="708" t="s">
        <v>1643</v>
      </c>
      <c r="C189" s="710">
        <v>0</v>
      </c>
      <c r="D189" s="710">
        <v>233.25</v>
      </c>
      <c r="E189" s="710">
        <v>233.25</v>
      </c>
      <c r="F189" s="708" t="s">
        <v>2014</v>
      </c>
      <c r="G189" s="708" t="s">
        <v>625</v>
      </c>
      <c r="H189" s="664" t="s">
        <v>3000</v>
      </c>
      <c r="I189" s="664"/>
      <c r="J189" s="664"/>
      <c r="K189" s="664"/>
      <c r="L189" s="149" t="str">
        <f t="shared" si="10"/>
        <v>630T</v>
      </c>
      <c r="M189" s="150" t="str">
        <f t="shared" si="11"/>
        <v>C/V - TRAITEMENT PROTECTION NEUF BMW AUTO</v>
      </c>
      <c r="N189" s="151">
        <f>+IF(OR($Q189=Parametres!$G$2,$Q189=Parametres!$G$3),I189,C189)</f>
        <v>0</v>
      </c>
      <c r="O189" s="151">
        <f>+IF(OR($Q189=Parametres!$G$2,$Q189=Parametres!$G$3),J189,D189)</f>
        <v>233.25</v>
      </c>
      <c r="P189" s="151">
        <f>+IF(OR($Q189=Parametres!$G$2,$Q189=Parametres!$G$3),K189,E189)</f>
        <v>233.25</v>
      </c>
      <c r="Q189" s="150" t="str">
        <f t="shared" si="12"/>
        <v>6-Coût des ventes</v>
      </c>
      <c r="R189" s="149" t="str">
        <f t="shared" si="13"/>
        <v>430</v>
      </c>
      <c r="S189" s="150" t="str">
        <f t="shared" si="14"/>
        <v>_</v>
      </c>
      <c r="T189" s="152" t="str">
        <f>+VLOOKUP($L189,Data_Validation!$A:$D,1,0)</f>
        <v>630T</v>
      </c>
      <c r="U189" s="152" t="str">
        <f>+VLOOKUP($L189,Data_Validation!$A:$D,3,0)</f>
        <v>Véhicules neufs</v>
      </c>
      <c r="V189" s="152" t="str">
        <f>+VLOOKUP($L189,Data_Validation!$A:$D,4,0)</f>
        <v>Rev. Autres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1809</v>
      </c>
      <c r="B190" s="708" t="s">
        <v>1810</v>
      </c>
      <c r="C190" s="710">
        <v>0</v>
      </c>
      <c r="D190" s="710">
        <v>3832</v>
      </c>
      <c r="E190" s="710">
        <v>3832</v>
      </c>
      <c r="F190" s="708" t="s">
        <v>2014</v>
      </c>
      <c r="G190" s="708" t="s">
        <v>625</v>
      </c>
      <c r="H190" s="664" t="s">
        <v>3000</v>
      </c>
      <c r="I190" s="663"/>
      <c r="J190" s="663"/>
      <c r="K190" s="663"/>
      <c r="L190" s="149" t="str">
        <f t="shared" si="10"/>
        <v>630U</v>
      </c>
      <c r="M190" s="150" t="str">
        <f t="shared" si="11"/>
        <v>C/V - ASSIST USURE NEUF BMW AUTO</v>
      </c>
      <c r="N190" s="151">
        <f>+IF(OR($Q190=Parametres!$G$2,$Q190=Parametres!$G$3),I190,C190)</f>
        <v>0</v>
      </c>
      <c r="O190" s="151">
        <f>+IF(OR($Q190=Parametres!$G$2,$Q190=Parametres!$G$3),J190,D190)</f>
        <v>3832</v>
      </c>
      <c r="P190" s="151">
        <f>+IF(OR($Q190=Parametres!$G$2,$Q190=Parametres!$G$3),K190,E190)</f>
        <v>3832</v>
      </c>
      <c r="Q190" s="150" t="str">
        <f t="shared" si="12"/>
        <v>6-Coût des ventes</v>
      </c>
      <c r="R190" s="149" t="str">
        <f t="shared" si="13"/>
        <v>430</v>
      </c>
      <c r="S190" s="150" t="str">
        <f t="shared" si="14"/>
        <v>_</v>
      </c>
      <c r="T190" s="152" t="str">
        <f>+VLOOKUP($L190,Data_Validation!$A:$D,1,0)</f>
        <v>630U</v>
      </c>
      <c r="U190" s="152" t="str">
        <f>+VLOOKUP($L190,Data_Validation!$A:$D,3,0)</f>
        <v>Véhicules neufs</v>
      </c>
      <c r="V190" s="152" t="str">
        <f>+VLOOKUP($L190,Data_Validation!$A:$D,4,0)</f>
        <v>Rev. Protections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2102</v>
      </c>
      <c r="B191" s="708" t="s">
        <v>2101</v>
      </c>
      <c r="C191" s="710">
        <v>0</v>
      </c>
      <c r="D191" s="710">
        <v>642</v>
      </c>
      <c r="E191" s="710">
        <v>642</v>
      </c>
      <c r="F191" s="708" t="s">
        <v>2014</v>
      </c>
      <c r="G191" s="708" t="s">
        <v>2359</v>
      </c>
      <c r="H191" s="664" t="s">
        <v>3000</v>
      </c>
      <c r="I191" s="664"/>
      <c r="J191" s="664"/>
      <c r="K191" s="664"/>
      <c r="L191" s="149" t="str">
        <f t="shared" si="10"/>
        <v>634A</v>
      </c>
      <c r="M191" s="150" t="str">
        <f t="shared" si="11"/>
        <v>C/V - CONT ENTRET NEUF BMW AUTO</v>
      </c>
      <c r="N191" s="151">
        <f>+IF(OR($Q191=Parametres!$G$2,$Q191=Parametres!$G$3),I191,C191)</f>
        <v>0</v>
      </c>
      <c r="O191" s="497">
        <f>+IF(OR($Q191=Parametres!$G$2,$Q191=Parametres!$G$3),J191,D191)</f>
        <v>642</v>
      </c>
      <c r="P191" s="151">
        <f>+IF(OR($Q191=Parametres!$G$2,$Q191=Parametres!$G$3),K191,E191)</f>
        <v>642</v>
      </c>
      <c r="Q191" s="150" t="str">
        <f t="shared" si="12"/>
        <v>6-Coût des ventes</v>
      </c>
      <c r="R191" s="149" t="str">
        <f t="shared" si="13"/>
        <v>434</v>
      </c>
      <c r="S191" s="150" t="str">
        <f t="shared" si="14"/>
        <v>_</v>
      </c>
      <c r="T191" s="152" t="str">
        <f>+VLOOKUP($L191,Data_Validation!$A:$D,1,0)</f>
        <v>634A</v>
      </c>
      <c r="U191" s="152" t="str">
        <f>+VLOOKUP($L191,Data_Validation!$A:$D,3,0)</f>
        <v>Véhicules neufs</v>
      </c>
      <c r="V191" s="152" t="str">
        <f>+VLOOKUP($L191,Data_Validation!$A:$D,4,0)</f>
        <v>Rev. Protections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1854</v>
      </c>
      <c r="B192" s="708" t="s">
        <v>987</v>
      </c>
      <c r="C192" s="710">
        <v>0</v>
      </c>
      <c r="D192" s="710">
        <v>11024</v>
      </c>
      <c r="E192" s="710">
        <v>11024</v>
      </c>
      <c r="F192" s="708" t="s">
        <v>2014</v>
      </c>
      <c r="G192" s="708" t="s">
        <v>398</v>
      </c>
      <c r="H192" s="600" t="s">
        <v>3000</v>
      </c>
      <c r="I192" s="602"/>
      <c r="J192" s="602"/>
      <c r="K192" s="602"/>
      <c r="L192" s="149" t="str">
        <f t="shared" si="10"/>
        <v>644B</v>
      </c>
      <c r="M192" s="150" t="str">
        <f t="shared" si="11"/>
        <v>C/V - GROS BMW CAMION</v>
      </c>
      <c r="N192" s="151">
        <f>+IF(OR($Q192=Parametres!$G$2,$Q192=Parametres!$G$3),I192,C192)</f>
        <v>0</v>
      </c>
      <c r="O192" s="151">
        <f>+IF(OR($Q192=Parametres!$G$2,$Q192=Parametres!$G$3),J192,D192)</f>
        <v>11024</v>
      </c>
      <c r="P192" s="151">
        <f>+IF(OR($Q192=Parametres!$G$2,$Q192=Parametres!$G$3),K192,E192)</f>
        <v>11024</v>
      </c>
      <c r="Q192" s="150" t="str">
        <f t="shared" si="12"/>
        <v>6-Coût des ventes</v>
      </c>
      <c r="R192" s="149" t="str">
        <f t="shared" si="13"/>
        <v>444B</v>
      </c>
      <c r="S192" s="150" t="str">
        <f t="shared" si="14"/>
        <v>_</v>
      </c>
      <c r="T192" s="152" t="str">
        <f>+VLOOKUP($L192,Data_Validation!$A:$D,1,0)</f>
        <v>644B</v>
      </c>
      <c r="U192" s="152" t="str">
        <f>+VLOOKUP($L192,Data_Validation!$A:$D,3,0)</f>
        <v>Véhicules usagés</v>
      </c>
      <c r="V192" s="152" t="str">
        <f>+VLOOKUP($L192,Data_Validation!$A:$D,4,0)</f>
        <v>Ventes au Gros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1847</v>
      </c>
      <c r="B193" s="708" t="s">
        <v>985</v>
      </c>
      <c r="C193" s="710">
        <v>0</v>
      </c>
      <c r="D193" s="710">
        <v>50499.9</v>
      </c>
      <c r="E193" s="710">
        <v>50499.9</v>
      </c>
      <c r="F193" s="708" t="s">
        <v>2014</v>
      </c>
      <c r="G193" s="708" t="s">
        <v>401</v>
      </c>
      <c r="H193" s="600" t="s">
        <v>3000</v>
      </c>
      <c r="I193" s="601"/>
      <c r="J193" s="601"/>
      <c r="K193" s="601"/>
      <c r="L193" s="149" t="str">
        <f t="shared" si="10"/>
        <v>644C</v>
      </c>
      <c r="M193" s="150" t="str">
        <f t="shared" si="11"/>
        <v>C/V - GROS AUTRES</v>
      </c>
      <c r="N193" s="151">
        <f>+IF(OR($Q193=Parametres!$G$2,$Q193=Parametres!$G$3),I193,C193)</f>
        <v>0</v>
      </c>
      <c r="O193" s="151">
        <f>+IF(OR($Q193=Parametres!$G$2,$Q193=Parametres!$G$3),J193,D193)</f>
        <v>50499.9</v>
      </c>
      <c r="P193" s="151">
        <f>+IF(OR($Q193=Parametres!$G$2,$Q193=Parametres!$G$3),K193,E193)</f>
        <v>50499.9</v>
      </c>
      <c r="Q193" s="150" t="str">
        <f t="shared" si="12"/>
        <v>6-Coût des ventes</v>
      </c>
      <c r="R193" s="149" t="str">
        <f t="shared" si="13"/>
        <v>444C</v>
      </c>
      <c r="S193" s="150" t="str">
        <f t="shared" si="14"/>
        <v>_</v>
      </c>
      <c r="T193" s="152" t="str">
        <f>+VLOOKUP($L193,Data_Validation!$A:$D,1,0)</f>
        <v>644C</v>
      </c>
      <c r="U193" s="152" t="str">
        <f>+VLOOKUP($L193,Data_Validation!$A:$D,3,0)</f>
        <v>Véhicules usagés</v>
      </c>
      <c r="V193" s="152" t="str">
        <f>+VLOOKUP($L193,Data_Validation!$A:$D,4,0)</f>
        <v>Ventes au Gros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1838</v>
      </c>
      <c r="B194" s="708" t="s">
        <v>974</v>
      </c>
      <c r="C194" s="710">
        <v>0</v>
      </c>
      <c r="D194" s="710">
        <v>132883.29</v>
      </c>
      <c r="E194" s="710">
        <v>132883.29</v>
      </c>
      <c r="F194" s="708" t="s">
        <v>2014</v>
      </c>
      <c r="G194" s="708" t="s">
        <v>418</v>
      </c>
      <c r="H194" s="664" t="s">
        <v>3000</v>
      </c>
      <c r="I194" s="663"/>
      <c r="J194" s="663"/>
      <c r="K194" s="663"/>
      <c r="L194" s="149" t="str">
        <f t="shared" ref="L194:L257" si="15">+B194</f>
        <v>646A</v>
      </c>
      <c r="M194" s="150" t="str">
        <f t="shared" ref="M194:M257" si="16">+A194</f>
        <v>C/V - USAGE BMW CAMION CERT</v>
      </c>
      <c r="N194" s="151">
        <f>+IF(OR($Q194=Parametres!$G$2,$Q194=Parametres!$G$3),I194,C194)</f>
        <v>0</v>
      </c>
      <c r="O194" s="151">
        <f>+IF(OR($Q194=Parametres!$G$2,$Q194=Parametres!$G$3),J194,D194)</f>
        <v>132883.29</v>
      </c>
      <c r="P194" s="151">
        <f>+IF(OR($Q194=Parametres!$G$2,$Q194=Parametres!$G$3),K194,E194)</f>
        <v>132883.29</v>
      </c>
      <c r="Q194" s="150" t="str">
        <f t="shared" ref="Q194:Q257" si="17">+F194</f>
        <v>6-Coût des ventes</v>
      </c>
      <c r="R194" s="149" t="str">
        <f t="shared" ref="R194:R257" si="18">+G194</f>
        <v>446A</v>
      </c>
      <c r="S194" s="150" t="str">
        <f t="shared" ref="S194:S257" si="19">+H194</f>
        <v>_</v>
      </c>
      <c r="T194" s="152" t="str">
        <f>+VLOOKUP($L194,Data_Validation!$A:$D,1,0)</f>
        <v>646A</v>
      </c>
      <c r="U194" s="152" t="str">
        <f>+VLOOKUP($L194,Data_Validation!$A:$D,3,0)</f>
        <v>Véhicules usagés</v>
      </c>
      <c r="V194" s="152" t="str">
        <f>+VLOOKUP($L194,Data_Validation!$A:$D,4,0)</f>
        <v>Certifié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1836</v>
      </c>
      <c r="B195" s="708" t="s">
        <v>982</v>
      </c>
      <c r="C195" s="710">
        <v>0</v>
      </c>
      <c r="D195" s="710">
        <v>86711.79</v>
      </c>
      <c r="E195" s="710">
        <v>86711.79</v>
      </c>
      <c r="F195" s="708" t="s">
        <v>2014</v>
      </c>
      <c r="G195" s="708" t="s">
        <v>404</v>
      </c>
      <c r="H195" s="664" t="s">
        <v>3000</v>
      </c>
      <c r="I195" s="663"/>
      <c r="J195" s="663"/>
      <c r="K195" s="663"/>
      <c r="L195" s="149" t="str">
        <f t="shared" si="15"/>
        <v>646B</v>
      </c>
      <c r="M195" s="150" t="str">
        <f t="shared" si="16"/>
        <v>C/V - USAGE BMW CAMION NON-CERT</v>
      </c>
      <c r="N195" s="151">
        <f>+IF(OR($Q195=Parametres!$G$2,$Q195=Parametres!$G$3),I195,C195)</f>
        <v>0</v>
      </c>
      <c r="O195" s="151">
        <f>+IF(OR($Q195=Parametres!$G$2,$Q195=Parametres!$G$3),J195,D195)</f>
        <v>86711.79</v>
      </c>
      <c r="P195" s="151">
        <f>+IF(OR($Q195=Parametres!$G$2,$Q195=Parametres!$G$3),K195,E195)</f>
        <v>86711.79</v>
      </c>
      <c r="Q195" s="150" t="str">
        <f t="shared" si="17"/>
        <v>6-Coût des ventes</v>
      </c>
      <c r="R195" s="149" t="str">
        <f t="shared" si="18"/>
        <v>446B</v>
      </c>
      <c r="S195" s="150" t="str">
        <f t="shared" si="19"/>
        <v>_</v>
      </c>
      <c r="T195" s="152" t="str">
        <f>+VLOOKUP($L195,Data_Validation!$A:$D,1,0)</f>
        <v>646B</v>
      </c>
      <c r="U195" s="152" t="str">
        <f>+VLOOKUP($L195,Data_Validation!$A:$D,3,0)</f>
        <v>Véhicules usagés</v>
      </c>
      <c r="V195" s="152" t="str">
        <f>+VLOOKUP($L195,Data_Validation!$A:$D,4,0)</f>
        <v>Non Certifié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1437</v>
      </c>
      <c r="B196" s="708" t="s">
        <v>986</v>
      </c>
      <c r="C196" s="710">
        <v>0</v>
      </c>
      <c r="D196" s="710">
        <v>29367.8</v>
      </c>
      <c r="E196" s="710">
        <v>29367.8</v>
      </c>
      <c r="F196" s="708" t="s">
        <v>2014</v>
      </c>
      <c r="G196" s="708" t="s">
        <v>400</v>
      </c>
      <c r="H196" s="664" t="s">
        <v>3000</v>
      </c>
      <c r="I196" s="663"/>
      <c r="J196" s="663"/>
      <c r="K196" s="663"/>
      <c r="L196" s="149" t="str">
        <f t="shared" si="15"/>
        <v>648</v>
      </c>
      <c r="M196" s="150" t="str">
        <f t="shared" si="16"/>
        <v>C/V - RACHAT LOCATION BMW</v>
      </c>
      <c r="N196" s="151">
        <f>+IF(OR($Q196=Parametres!$G$2,$Q196=Parametres!$G$3),I196,C196)</f>
        <v>0</v>
      </c>
      <c r="O196" s="151">
        <f>+IF(OR($Q196=Parametres!$G$2,$Q196=Parametres!$G$3),J196,D196)</f>
        <v>29367.8</v>
      </c>
      <c r="P196" s="151">
        <f>+IF(OR($Q196=Parametres!$G$2,$Q196=Parametres!$G$3),K196,E196)</f>
        <v>29367.8</v>
      </c>
      <c r="Q196" s="150" t="str">
        <f t="shared" si="17"/>
        <v>6-Coût des ventes</v>
      </c>
      <c r="R196" s="149" t="str">
        <f t="shared" si="18"/>
        <v>448</v>
      </c>
      <c r="S196" s="150" t="str">
        <f t="shared" si="19"/>
        <v>_</v>
      </c>
      <c r="T196" s="152" t="str">
        <f>+VLOOKUP($L196,Data_Validation!$A:$D,1,0)</f>
        <v>648</v>
      </c>
      <c r="U196" s="152" t="str">
        <f>+VLOOKUP($L196,Data_Validation!$A:$D,3,0)</f>
        <v>Véhicules neufs</v>
      </c>
      <c r="V196" s="152" t="str">
        <f>+VLOOKUP($L196,Data_Validation!$A:$D,4,0)</f>
        <v>Rachat bail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1672</v>
      </c>
      <c r="B197" s="708" t="s">
        <v>911</v>
      </c>
      <c r="C197" s="710">
        <v>0</v>
      </c>
      <c r="D197" s="710">
        <v>4250.3</v>
      </c>
      <c r="E197" s="710">
        <v>4250.3</v>
      </c>
      <c r="F197" s="708" t="s">
        <v>2014</v>
      </c>
      <c r="G197" s="708" t="s">
        <v>418</v>
      </c>
      <c r="H197" s="664" t="s">
        <v>3000</v>
      </c>
      <c r="I197" s="663"/>
      <c r="J197" s="663"/>
      <c r="K197" s="663"/>
      <c r="L197" s="149" t="str">
        <f t="shared" si="15"/>
        <v>648A</v>
      </c>
      <c r="M197" s="150" t="str">
        <f t="shared" si="16"/>
        <v>C/V - RECOND. BMW CAMION CERT</v>
      </c>
      <c r="N197" s="151">
        <f>+IF(OR($Q197=Parametres!$G$2,$Q197=Parametres!$G$3),I197,C197)</f>
        <v>0</v>
      </c>
      <c r="O197" s="151">
        <f>+IF(OR($Q197=Parametres!$G$2,$Q197=Parametres!$G$3),J197,D197)</f>
        <v>4250.3</v>
      </c>
      <c r="P197" s="151">
        <f>+IF(OR($Q197=Parametres!$G$2,$Q197=Parametres!$G$3),K197,E197)</f>
        <v>4250.3</v>
      </c>
      <c r="Q197" s="150" t="str">
        <f t="shared" si="17"/>
        <v>6-Coût des ventes</v>
      </c>
      <c r="R197" s="149" t="str">
        <f t="shared" si="18"/>
        <v>446A</v>
      </c>
      <c r="S197" s="150" t="str">
        <f t="shared" si="19"/>
        <v>_</v>
      </c>
      <c r="T197" s="152" t="str">
        <f>+VLOOKUP($L197,Data_Validation!$A:$D,1,0)</f>
        <v>648A</v>
      </c>
      <c r="U197" s="152" t="str">
        <f>+VLOOKUP($L197,Data_Validation!$A:$D,3,0)</f>
        <v>Véhicules usagés</v>
      </c>
      <c r="V197" s="152" t="str">
        <f>+VLOOKUP($L197,Data_Validation!$A:$D,4,0)</f>
        <v>Certifié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1733</v>
      </c>
      <c r="B198" s="708" t="s">
        <v>917</v>
      </c>
      <c r="C198" s="710">
        <v>0</v>
      </c>
      <c r="D198" s="710">
        <v>1043.8599999999999</v>
      </c>
      <c r="E198" s="710">
        <v>1043.8599999999999</v>
      </c>
      <c r="F198" s="708" t="s">
        <v>2014</v>
      </c>
      <c r="G198" s="708" t="s">
        <v>404</v>
      </c>
      <c r="H198" s="664" t="s">
        <v>3000</v>
      </c>
      <c r="I198" s="663"/>
      <c r="J198" s="663"/>
      <c r="K198" s="663"/>
      <c r="L198" s="149" t="str">
        <f t="shared" si="15"/>
        <v>648B</v>
      </c>
      <c r="M198" s="150" t="str">
        <f t="shared" si="16"/>
        <v>C/V - RECOND. BMW CAMION NON-CERT</v>
      </c>
      <c r="N198" s="151">
        <f>+IF(OR($Q198=Parametres!$G$2,$Q198=Parametres!$G$3),I198,C198)</f>
        <v>0</v>
      </c>
      <c r="O198" s="151">
        <f>+IF(OR($Q198=Parametres!$G$2,$Q198=Parametres!$G$3),J198,D198)</f>
        <v>1043.8599999999999</v>
      </c>
      <c r="P198" s="151">
        <f>+IF(OR($Q198=Parametres!$G$2,$Q198=Parametres!$G$3),K198,E198)</f>
        <v>1043.8599999999999</v>
      </c>
      <c r="Q198" s="150" t="str">
        <f t="shared" si="17"/>
        <v>6-Coût des ventes</v>
      </c>
      <c r="R198" s="149" t="str">
        <f t="shared" si="18"/>
        <v>446B</v>
      </c>
      <c r="S198" s="150" t="str">
        <f t="shared" si="19"/>
        <v>_</v>
      </c>
      <c r="T198" s="152" t="str">
        <f>+VLOOKUP($L198,Data_Validation!$A:$D,1,0)</f>
        <v>648B</v>
      </c>
      <c r="U198" s="152" t="str">
        <f>+VLOOKUP($L198,Data_Validation!$A:$D,3,0)</f>
        <v>Véhicules usagés</v>
      </c>
      <c r="V198" s="152" t="str">
        <f>+VLOOKUP($L198,Data_Validation!$A:$D,4,0)</f>
        <v>Non Certifié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08" t="s">
        <v>1646</v>
      </c>
      <c r="B199" s="708" t="s">
        <v>1647</v>
      </c>
      <c r="C199" s="710">
        <v>0</v>
      </c>
      <c r="D199" s="710">
        <v>213</v>
      </c>
      <c r="E199" s="710">
        <v>213</v>
      </c>
      <c r="F199" s="708" t="s">
        <v>2014</v>
      </c>
      <c r="G199" s="708" t="s">
        <v>1012</v>
      </c>
      <c r="H199" s="657" t="s">
        <v>3000</v>
      </c>
      <c r="I199" s="656"/>
      <c r="J199" s="656"/>
      <c r="K199" s="656"/>
      <c r="L199" s="149" t="str">
        <f t="shared" si="15"/>
        <v>650</v>
      </c>
      <c r="M199" s="150" t="str">
        <f t="shared" si="16"/>
        <v>C/V - MARQUAGE OTOPROTEC USAGE BMW CERT</v>
      </c>
      <c r="N199" s="151">
        <f>+IF(OR($Q199=Parametres!$G$2,$Q199=Parametres!$G$3),I199,C199)</f>
        <v>0</v>
      </c>
      <c r="O199" s="151">
        <f>+IF(OR($Q199=Parametres!$G$2,$Q199=Parametres!$G$3),J199,D199)</f>
        <v>213</v>
      </c>
      <c r="P199" s="151">
        <f>+IF(OR($Q199=Parametres!$G$2,$Q199=Parametres!$G$3),K199,E199)</f>
        <v>213</v>
      </c>
      <c r="Q199" s="150" t="str">
        <f t="shared" si="17"/>
        <v>6-Coût des ventes</v>
      </c>
      <c r="R199" s="149" t="str">
        <f t="shared" si="18"/>
        <v>450</v>
      </c>
      <c r="S199" s="150" t="str">
        <f t="shared" si="19"/>
        <v>_</v>
      </c>
      <c r="T199" s="152" t="str">
        <f>+VLOOKUP($L199,Data_Validation!$A:$D,1,0)</f>
        <v>650</v>
      </c>
      <c r="U199" s="152" t="str">
        <f>+VLOOKUP($L199,Data_Validation!$A:$D,3,0)</f>
        <v>Véhicules usagés</v>
      </c>
      <c r="V199" s="152" t="str">
        <f>+VLOOKUP($L199,Data_Validation!$A:$D,4,0)</f>
        <v>Rev. Autres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1439</v>
      </c>
      <c r="B200" s="708" t="s">
        <v>669</v>
      </c>
      <c r="C200" s="710">
        <v>0</v>
      </c>
      <c r="D200" s="710">
        <v>840</v>
      </c>
      <c r="E200" s="710">
        <v>840</v>
      </c>
      <c r="F200" s="708" t="s">
        <v>2014</v>
      </c>
      <c r="G200" s="708" t="s">
        <v>1012</v>
      </c>
      <c r="H200" s="664" t="s">
        <v>3000</v>
      </c>
      <c r="I200" s="663"/>
      <c r="J200" s="663"/>
      <c r="K200" s="663"/>
      <c r="L200" s="149" t="str">
        <f t="shared" si="15"/>
        <v>650C</v>
      </c>
      <c r="M200" s="150" t="str">
        <f t="shared" si="16"/>
        <v>C/V - ACCESSOIRES USAGE BMW CERT</v>
      </c>
      <c r="N200" s="151">
        <f>+IF(OR($Q200=Parametres!$G$2,$Q200=Parametres!$G$3),I200,C200)</f>
        <v>0</v>
      </c>
      <c r="O200" s="151">
        <f>+IF(OR($Q200=Parametres!$G$2,$Q200=Parametres!$G$3),J200,D200)</f>
        <v>840</v>
      </c>
      <c r="P200" s="151">
        <f>+IF(OR($Q200=Parametres!$G$2,$Q200=Parametres!$G$3),K200,E200)</f>
        <v>840</v>
      </c>
      <c r="Q200" s="150" t="str">
        <f t="shared" si="17"/>
        <v>6-Coût des ventes</v>
      </c>
      <c r="R200" s="149" t="str">
        <f t="shared" si="18"/>
        <v>450</v>
      </c>
      <c r="S200" s="150" t="str">
        <f t="shared" si="19"/>
        <v>_</v>
      </c>
      <c r="T200" s="152" t="str">
        <f>+VLOOKUP($L200,Data_Validation!$A:$D,1,0)</f>
        <v>650C</v>
      </c>
      <c r="U200" s="152" t="str">
        <f>+VLOOKUP($L200,Data_Validation!$A:$D,3,0)</f>
        <v>Véhicules usagés</v>
      </c>
      <c r="V200" s="152" t="str">
        <f>+VLOOKUP($L200,Data_Validation!$A:$D,4,0)</f>
        <v>Rev. Autres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1687</v>
      </c>
      <c r="B201" s="708" t="s">
        <v>1032</v>
      </c>
      <c r="C201" s="710">
        <v>0</v>
      </c>
      <c r="D201" s="710">
        <v>550</v>
      </c>
      <c r="E201" s="710">
        <v>550</v>
      </c>
      <c r="F201" s="708" t="s">
        <v>2014</v>
      </c>
      <c r="G201" s="708" t="s">
        <v>1012</v>
      </c>
      <c r="H201" s="664" t="s">
        <v>3000</v>
      </c>
      <c r="I201" s="663"/>
      <c r="J201" s="663"/>
      <c r="K201" s="663"/>
      <c r="L201" s="149" t="str">
        <f t="shared" si="15"/>
        <v>650E</v>
      </c>
      <c r="M201" s="150" t="str">
        <f t="shared" si="16"/>
        <v>C/V - PROTEC ESTHETIQUE USAGE BMW CERT</v>
      </c>
      <c r="N201" s="151">
        <f>+IF(OR($Q201=Parametres!$G$2,$Q201=Parametres!$G$3),I201,C201)</f>
        <v>0</v>
      </c>
      <c r="O201" s="151">
        <f>+IF(OR($Q201=Parametres!$G$2,$Q201=Parametres!$G$3),J201,D201)</f>
        <v>550</v>
      </c>
      <c r="P201" s="151">
        <f>+IF(OR($Q201=Parametres!$G$2,$Q201=Parametres!$G$3),K201,E201)</f>
        <v>550</v>
      </c>
      <c r="Q201" s="150" t="str">
        <f t="shared" si="17"/>
        <v>6-Coût des ventes</v>
      </c>
      <c r="R201" s="149" t="str">
        <f t="shared" si="18"/>
        <v>450</v>
      </c>
      <c r="S201" s="150" t="str">
        <f t="shared" si="19"/>
        <v>_</v>
      </c>
      <c r="T201" s="152" t="str">
        <f>+VLOOKUP($L201,Data_Validation!$A:$D,1,0)</f>
        <v>650E</v>
      </c>
      <c r="U201" s="152" t="str">
        <f>+VLOOKUP($L201,Data_Validation!$A:$D,3,0)</f>
        <v>Véhicules usagés</v>
      </c>
      <c r="V201" s="152" t="str">
        <f>+VLOOKUP($L201,Data_Validation!$A:$D,4,0)</f>
        <v>Rev. Protections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1815</v>
      </c>
      <c r="B202" s="708" t="s">
        <v>964</v>
      </c>
      <c r="C202" s="710">
        <v>0</v>
      </c>
      <c r="D202" s="710">
        <v>2750</v>
      </c>
      <c r="E202" s="710">
        <v>2750</v>
      </c>
      <c r="F202" s="708" t="s">
        <v>2014</v>
      </c>
      <c r="G202" s="708" t="s">
        <v>368</v>
      </c>
      <c r="H202" s="657" t="s">
        <v>3000</v>
      </c>
      <c r="I202" s="656"/>
      <c r="J202" s="656"/>
      <c r="K202" s="656"/>
      <c r="L202" s="149" t="str">
        <f t="shared" si="15"/>
        <v>652</v>
      </c>
      <c r="M202" s="150" t="str">
        <f t="shared" si="16"/>
        <v>C/V - GAR PROL USAGE BMW CERT</v>
      </c>
      <c r="N202" s="151">
        <f>+IF(OR($Q202=Parametres!$G$2,$Q202=Parametres!$G$3),I202,C202)</f>
        <v>0</v>
      </c>
      <c r="O202" s="151">
        <f>+IF(OR($Q202=Parametres!$G$2,$Q202=Parametres!$G$3),J202,D202)</f>
        <v>2750</v>
      </c>
      <c r="P202" s="151">
        <f>+IF(OR($Q202=Parametres!$G$2,$Q202=Parametres!$G$3),K202,E202)</f>
        <v>2750</v>
      </c>
      <c r="Q202" s="150" t="str">
        <f t="shared" si="17"/>
        <v>6-Coût des ventes</v>
      </c>
      <c r="R202" s="149" t="str">
        <f t="shared" si="18"/>
        <v>452</v>
      </c>
      <c r="S202" s="150" t="str">
        <f t="shared" si="19"/>
        <v>_</v>
      </c>
      <c r="T202" s="152" t="str">
        <f>+VLOOKUP($L202,Data_Validation!$A:$D,1,0)</f>
        <v>652</v>
      </c>
      <c r="U202" s="152" t="str">
        <f>+VLOOKUP($L202,Data_Validation!$A:$D,3,0)</f>
        <v>Véhicules usagés</v>
      </c>
      <c r="V202" s="152" t="str">
        <f>+VLOOKUP($L202,Data_Validation!$A:$D,4,0)</f>
        <v>Rev. Protections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1988</v>
      </c>
      <c r="B203" s="708" t="s">
        <v>1989</v>
      </c>
      <c r="C203" s="710">
        <v>0</v>
      </c>
      <c r="D203" s="710">
        <v>3305</v>
      </c>
      <c r="E203" s="710">
        <v>3305</v>
      </c>
      <c r="F203" s="708" t="s">
        <v>2014</v>
      </c>
      <c r="G203" s="708" t="s">
        <v>368</v>
      </c>
      <c r="H203" s="657" t="s">
        <v>3000</v>
      </c>
      <c r="I203" s="656"/>
      <c r="J203" s="656"/>
      <c r="K203" s="656"/>
      <c r="L203" s="149" t="str">
        <f t="shared" si="15"/>
        <v>652C</v>
      </c>
      <c r="M203" s="150" t="str">
        <f t="shared" si="16"/>
        <v>C/V - GAR PROL USAGE BMW NON-CERT</v>
      </c>
      <c r="N203" s="151">
        <f>+IF(OR($Q203=Parametres!$G$2,$Q203=Parametres!$G$3),I203,C203)</f>
        <v>0</v>
      </c>
      <c r="O203" s="151">
        <f>+IF(OR($Q203=Parametres!$G$2,$Q203=Parametres!$G$3),J203,D203)</f>
        <v>3305</v>
      </c>
      <c r="P203" s="151">
        <f>+IF(OR($Q203=Parametres!$G$2,$Q203=Parametres!$G$3),K203,E203)</f>
        <v>3305</v>
      </c>
      <c r="Q203" s="150" t="str">
        <f t="shared" si="17"/>
        <v>6-Coût des ventes</v>
      </c>
      <c r="R203" s="149" t="str">
        <f t="shared" si="18"/>
        <v>452</v>
      </c>
      <c r="S203" s="150" t="str">
        <f t="shared" si="19"/>
        <v>_</v>
      </c>
      <c r="T203" s="152" t="str">
        <f>+VLOOKUP($L203,Data_Validation!$A:$D,1,0)</f>
        <v>652C</v>
      </c>
      <c r="U203" s="152" t="str">
        <f>+VLOOKUP($L203,Data_Validation!$A:$D,3,0)</f>
        <v>Véhicules usagés</v>
      </c>
      <c r="V203" s="152" t="str">
        <f>+VLOOKUP($L203,Data_Validation!$A:$D,4,0)</f>
        <v>Rev. Protections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2370</v>
      </c>
      <c r="B204" s="708" t="s">
        <v>2371</v>
      </c>
      <c r="C204" s="710">
        <v>0</v>
      </c>
      <c r="D204" s="710">
        <v>2268</v>
      </c>
      <c r="E204" s="710">
        <v>2268</v>
      </c>
      <c r="F204" s="708" t="s">
        <v>2014</v>
      </c>
      <c r="G204" s="708" t="s">
        <v>2360</v>
      </c>
      <c r="H204" s="664" t="s">
        <v>3000</v>
      </c>
      <c r="I204" s="663"/>
      <c r="J204" s="663"/>
      <c r="K204" s="663"/>
      <c r="L204" s="149" t="str">
        <f t="shared" si="15"/>
        <v>654</v>
      </c>
      <c r="M204" s="150" t="str">
        <f t="shared" si="16"/>
        <v>C/V - CONT ENTRET USAGE BMW CERT</v>
      </c>
      <c r="N204" s="151">
        <f>+IF(OR($Q204=Parametres!$G$2,$Q204=Parametres!$G$3),I204,C204)</f>
        <v>0</v>
      </c>
      <c r="O204" s="151">
        <f>+IF(OR($Q204=Parametres!$G$2,$Q204=Parametres!$G$3),J204,D204)</f>
        <v>2268</v>
      </c>
      <c r="P204" s="151">
        <f>+IF(OR($Q204=Parametres!$G$2,$Q204=Parametres!$G$3),K204,E204)</f>
        <v>2268</v>
      </c>
      <c r="Q204" s="150" t="str">
        <f t="shared" si="17"/>
        <v>6-Coût des ventes</v>
      </c>
      <c r="R204" s="149" t="str">
        <f t="shared" si="18"/>
        <v>454</v>
      </c>
      <c r="S204" s="150" t="str">
        <f t="shared" si="19"/>
        <v>_</v>
      </c>
      <c r="T204" s="152" t="str">
        <f>+VLOOKUP($L204,Data_Validation!$A:$D,1,0)</f>
        <v>654</v>
      </c>
      <c r="U204" s="152" t="str">
        <f>+VLOOKUP($L204,Data_Validation!$A:$D,3,0)</f>
        <v>Véhicules usagés</v>
      </c>
      <c r="V204" s="152" t="str">
        <f>+VLOOKUP($L204,Data_Validation!$A:$D,4,0)</f>
        <v>Rev. Protections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2149</v>
      </c>
      <c r="B205" s="708" t="s">
        <v>2150</v>
      </c>
      <c r="C205" s="710">
        <v>0</v>
      </c>
      <c r="D205" s="710">
        <v>1319</v>
      </c>
      <c r="E205" s="710">
        <v>1319</v>
      </c>
      <c r="F205" s="708" t="s">
        <v>2014</v>
      </c>
      <c r="G205" s="708" t="s">
        <v>1012</v>
      </c>
      <c r="H205" s="664" t="s">
        <v>3000</v>
      </c>
      <c r="I205" s="663"/>
      <c r="J205" s="663"/>
      <c r="K205" s="663"/>
      <c r="L205" s="149" t="str">
        <f t="shared" si="15"/>
        <v>654A</v>
      </c>
      <c r="M205" s="150" t="str">
        <f t="shared" si="16"/>
        <v>C/V - CONT ENTRET USAGE BMW NON-CERT</v>
      </c>
      <c r="N205" s="151">
        <f>+IF(OR($Q205=Parametres!$G$2,$Q205=Parametres!$G$3),I205,C205)</f>
        <v>0</v>
      </c>
      <c r="O205" s="151">
        <f>+IF(OR($Q205=Parametres!$G$2,$Q205=Parametres!$G$3),J205,D205)</f>
        <v>1319</v>
      </c>
      <c r="P205" s="151">
        <f>+IF(OR($Q205=Parametres!$G$2,$Q205=Parametres!$G$3),K205,E205)</f>
        <v>1319</v>
      </c>
      <c r="Q205" s="150" t="str">
        <f t="shared" si="17"/>
        <v>6-Coût des ventes</v>
      </c>
      <c r="R205" s="149" t="str">
        <f t="shared" si="18"/>
        <v>450</v>
      </c>
      <c r="S205" s="150" t="str">
        <f t="shared" si="19"/>
        <v>_</v>
      </c>
      <c r="T205" s="152" t="str">
        <f>+VLOOKUP($L205,Data_Validation!$A:$D,1,0)</f>
        <v>654A</v>
      </c>
      <c r="U205" s="152" t="str">
        <f>+VLOOKUP($L205,Data_Validation!$A:$D,3,0)</f>
        <v>Véhicules usagés</v>
      </c>
      <c r="V205" s="152" t="str">
        <f>+VLOOKUP($L205,Data_Validation!$A:$D,4,0)</f>
        <v>Rev. Protections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2070</v>
      </c>
      <c r="B206" s="708" t="s">
        <v>2071</v>
      </c>
      <c r="C206" s="710">
        <v>0</v>
      </c>
      <c r="D206" s="710">
        <v>605</v>
      </c>
      <c r="E206" s="710">
        <v>605</v>
      </c>
      <c r="F206" s="708" t="s">
        <v>2014</v>
      </c>
      <c r="G206" s="708" t="s">
        <v>1012</v>
      </c>
      <c r="H206" s="664" t="s">
        <v>3000</v>
      </c>
      <c r="I206" s="664"/>
      <c r="J206" s="664"/>
      <c r="K206" s="664"/>
      <c r="L206" s="149" t="str">
        <f t="shared" si="15"/>
        <v>654E</v>
      </c>
      <c r="M206" s="150" t="str">
        <f t="shared" si="16"/>
        <v>C/V - PROTEC ESTHETIQUE USAGE BMW NON-CERT</v>
      </c>
      <c r="N206" s="151">
        <f>+IF(OR($Q206=Parametres!$G$2,$Q206=Parametres!$G$3),I206,C206)</f>
        <v>0</v>
      </c>
      <c r="O206" s="151">
        <f>+IF(OR($Q206=Parametres!$G$2,$Q206=Parametres!$G$3),J206,D206)</f>
        <v>605</v>
      </c>
      <c r="P206" s="151">
        <f>+IF(OR($Q206=Parametres!$G$2,$Q206=Parametres!$G$3),K206,E206)</f>
        <v>605</v>
      </c>
      <c r="Q206" s="150" t="str">
        <f t="shared" si="17"/>
        <v>6-Coût des ventes</v>
      </c>
      <c r="R206" s="149" t="str">
        <f t="shared" si="18"/>
        <v>450</v>
      </c>
      <c r="S206" s="150" t="str">
        <f t="shared" si="19"/>
        <v>_</v>
      </c>
      <c r="T206" s="152" t="str">
        <f>+VLOOKUP($L206,Data_Validation!$A:$D,1,0)</f>
        <v>654E</v>
      </c>
      <c r="U206" s="152" t="str">
        <f>+VLOOKUP($L206,Data_Validation!$A:$D,3,0)</f>
        <v>Véhicules usagés</v>
      </c>
      <c r="V206" s="152" t="str">
        <f>+VLOOKUP($L206,Data_Validation!$A:$D,4,0)</f>
        <v>Rev. Protections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1955</v>
      </c>
      <c r="B207" s="708" t="s">
        <v>1956</v>
      </c>
      <c r="C207" s="710">
        <v>0</v>
      </c>
      <c r="D207" s="710">
        <v>142</v>
      </c>
      <c r="E207" s="710">
        <v>142</v>
      </c>
      <c r="F207" s="708" t="s">
        <v>2014</v>
      </c>
      <c r="G207" s="708" t="s">
        <v>1012</v>
      </c>
      <c r="H207" s="664" t="s">
        <v>3000</v>
      </c>
      <c r="I207" s="663"/>
      <c r="J207" s="663"/>
      <c r="K207" s="663"/>
      <c r="L207" s="149" t="str">
        <f t="shared" si="15"/>
        <v>654M</v>
      </c>
      <c r="M207" s="150" t="str">
        <f t="shared" si="16"/>
        <v>C/V - MARQUAGE OTOPROTEC USAGE BMW NON-CERT</v>
      </c>
      <c r="N207" s="151">
        <f>+IF(OR($Q207=Parametres!$G$2,$Q207=Parametres!$G$3),I207,C207)</f>
        <v>0</v>
      </c>
      <c r="O207" s="151">
        <f>+IF(OR($Q207=Parametres!$G$2,$Q207=Parametres!$G$3),J207,D207)</f>
        <v>142</v>
      </c>
      <c r="P207" s="151">
        <f>+IF(OR($Q207=Parametres!$G$2,$Q207=Parametres!$G$3),K207,E207)</f>
        <v>142</v>
      </c>
      <c r="Q207" s="150" t="str">
        <f t="shared" si="17"/>
        <v>6-Coût des ventes</v>
      </c>
      <c r="R207" s="149" t="str">
        <f t="shared" si="18"/>
        <v>450</v>
      </c>
      <c r="S207" s="150" t="str">
        <f t="shared" si="19"/>
        <v>_</v>
      </c>
      <c r="T207" s="152" t="str">
        <f>+VLOOKUP($L207,Data_Validation!$A:$D,1,0)</f>
        <v>654M</v>
      </c>
      <c r="U207" s="152" t="str">
        <f>+VLOOKUP($L207,Data_Validation!$A:$D,3,0)</f>
        <v>Véhicules usagés</v>
      </c>
      <c r="V207" s="152" t="str">
        <f>+VLOOKUP($L207,Data_Validation!$A:$D,4,0)</f>
        <v>Rev. Protections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08" t="s">
        <v>1696</v>
      </c>
      <c r="B208" s="708" t="s">
        <v>844</v>
      </c>
      <c r="C208" s="710">
        <v>0</v>
      </c>
      <c r="D208" s="710">
        <v>391.5</v>
      </c>
      <c r="E208" s="710">
        <v>391.5</v>
      </c>
      <c r="F208" s="708" t="s">
        <v>2014</v>
      </c>
      <c r="G208" s="708" t="s">
        <v>450</v>
      </c>
      <c r="H208" s="657" t="s">
        <v>3000</v>
      </c>
      <c r="I208" s="656"/>
      <c r="J208" s="656"/>
      <c r="K208" s="656"/>
      <c r="L208" s="149" t="str">
        <f t="shared" si="15"/>
        <v>659A</v>
      </c>
      <c r="M208" s="150" t="str">
        <f t="shared" si="16"/>
        <v>C/V - BMW SPA PROGRAMME</v>
      </c>
      <c r="N208" s="151">
        <f>+IF(OR($Q208=Parametres!$G$2,$Q208=Parametres!$G$3),I208,C208)</f>
        <v>0</v>
      </c>
      <c r="O208" s="151">
        <f>+IF(OR($Q208=Parametres!$G$2,$Q208=Parametres!$G$3),J208,D208)</f>
        <v>391.5</v>
      </c>
      <c r="P208" s="151">
        <f>+IF(OR($Q208=Parametres!$G$2,$Q208=Parametres!$G$3),K208,E208)</f>
        <v>391.5</v>
      </c>
      <c r="Q208" s="150" t="str">
        <f t="shared" si="17"/>
        <v>6-Coût des ventes</v>
      </c>
      <c r="R208" s="149" t="str">
        <f t="shared" si="18"/>
        <v>459A</v>
      </c>
      <c r="S208" s="150" t="str">
        <f t="shared" si="19"/>
        <v>_</v>
      </c>
      <c r="T208" s="152" t="str">
        <f>+VLOOKUP($L208,Data_Validation!$A:$D,1,0)</f>
        <v>659A</v>
      </c>
      <c r="U208" s="152" t="str">
        <f>+VLOOKUP($L208,Data_Validation!$A:$D,3,0)</f>
        <v>service</v>
      </c>
      <c r="V208" s="152" t="str">
        <f>+VLOOKUP($L208,Data_Validation!$A:$D,4,0)</f>
        <v>M/O Esthétique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2191</v>
      </c>
      <c r="B209" s="708" t="s">
        <v>2192</v>
      </c>
      <c r="C209" s="710">
        <v>0</v>
      </c>
      <c r="D209" s="710">
        <v>215.5</v>
      </c>
      <c r="E209" s="710">
        <v>215.5</v>
      </c>
      <c r="F209" s="708" t="s">
        <v>2014</v>
      </c>
      <c r="G209" s="708" t="s">
        <v>450</v>
      </c>
      <c r="H209" s="664" t="s">
        <v>3000</v>
      </c>
      <c r="I209" s="663"/>
      <c r="J209" s="663"/>
      <c r="K209" s="663"/>
      <c r="L209" s="149" t="str">
        <f t="shared" si="15"/>
        <v>659B</v>
      </c>
      <c r="M209" s="150" t="str">
        <f t="shared" si="16"/>
        <v>C/V - SUBLET ESTHETIQUE</v>
      </c>
      <c r="N209" s="151">
        <f>+IF(OR($Q209=Parametres!$G$2,$Q209=Parametres!$G$3),I209,C209)</f>
        <v>0</v>
      </c>
      <c r="O209" s="151">
        <f>+IF(OR($Q209=Parametres!$G$2,$Q209=Parametres!$G$3),J209,D209)</f>
        <v>215.5</v>
      </c>
      <c r="P209" s="151">
        <f>+IF(OR($Q209=Parametres!$G$2,$Q209=Parametres!$G$3),K209,E209)</f>
        <v>215.5</v>
      </c>
      <c r="Q209" s="150" t="str">
        <f t="shared" si="17"/>
        <v>6-Coût des ventes</v>
      </c>
      <c r="R209" s="149" t="str">
        <f t="shared" si="18"/>
        <v>459A</v>
      </c>
      <c r="S209" s="150" t="str">
        <f t="shared" si="19"/>
        <v>_</v>
      </c>
      <c r="T209" s="152" t="str">
        <f>+VLOOKUP($L209,Data_Validation!$A:$D,1,0)</f>
        <v>659B</v>
      </c>
      <c r="U209" s="152" t="str">
        <f>+VLOOKUP($L209,Data_Validation!$A:$D,3,0)</f>
        <v>Service</v>
      </c>
      <c r="V209" s="152" t="str">
        <f>+VLOOKUP($L209,Data_Validation!$A:$D,4,0)</f>
        <v>M/O Esthétique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08" t="s">
        <v>1746</v>
      </c>
      <c r="B210" s="708" t="s">
        <v>1747</v>
      </c>
      <c r="C210" s="710">
        <v>0</v>
      </c>
      <c r="D210" s="710">
        <v>4345.8900000000003</v>
      </c>
      <c r="E210" s="710">
        <v>4345.8900000000003</v>
      </c>
      <c r="F210" s="708" t="s">
        <v>2014</v>
      </c>
      <c r="G210" s="708" t="s">
        <v>1116</v>
      </c>
      <c r="H210" s="709" t="s">
        <v>3000</v>
      </c>
      <c r="I210" s="709"/>
      <c r="J210" s="709"/>
      <c r="K210" s="709"/>
      <c r="L210" s="149" t="str">
        <f t="shared" si="15"/>
        <v>660A</v>
      </c>
      <c r="M210" s="150" t="str">
        <f t="shared" si="16"/>
        <v>C/V - M/O CLIENT BMW AUTO</v>
      </c>
      <c r="N210" s="151">
        <f>+IF(OR($Q210=Parametres!$G$2,$Q210=Parametres!$G$3),I210,C210)</f>
        <v>0</v>
      </c>
      <c r="O210" s="151">
        <f>+IF(OR($Q210=Parametres!$G$2,$Q210=Parametres!$G$3),J210,D210)</f>
        <v>4345.8900000000003</v>
      </c>
      <c r="P210" s="151">
        <f>+IF(OR($Q210=Parametres!$G$2,$Q210=Parametres!$G$3),K210,E210)</f>
        <v>4345.8900000000003</v>
      </c>
      <c r="Q210" s="150" t="str">
        <f t="shared" si="17"/>
        <v>6-Coût des ventes</v>
      </c>
      <c r="R210" s="149" t="str">
        <f t="shared" si="18"/>
        <v>460A</v>
      </c>
      <c r="S210" s="150" t="str">
        <f t="shared" si="19"/>
        <v>_</v>
      </c>
      <c r="T210" s="152" t="str">
        <f>+VLOOKUP($L210,Data_Validation!$A:$D,1,0)</f>
        <v>660A</v>
      </c>
      <c r="U210" s="152" t="str">
        <f>+VLOOKUP($L210,Data_Validation!$A:$D,3,0)</f>
        <v>service</v>
      </c>
      <c r="V210" s="152" t="str">
        <f>+VLOOKUP($L210,Data_Validation!$A:$D,4,0)</f>
        <v>M/O Client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08" t="s">
        <v>1735</v>
      </c>
      <c r="B211" s="708" t="s">
        <v>967</v>
      </c>
      <c r="C211" s="710">
        <v>0</v>
      </c>
      <c r="D211" s="710">
        <v>5042.6000000000004</v>
      </c>
      <c r="E211" s="710">
        <v>5042.6000000000004</v>
      </c>
      <c r="F211" s="708" t="s">
        <v>2014</v>
      </c>
      <c r="G211" s="708" t="s">
        <v>1116</v>
      </c>
      <c r="H211" s="664" t="s">
        <v>3000</v>
      </c>
      <c r="I211" s="663"/>
      <c r="J211" s="663"/>
      <c r="K211" s="663"/>
      <c r="L211" s="149" t="str">
        <f t="shared" si="15"/>
        <v>660B</v>
      </c>
      <c r="M211" s="150" t="str">
        <f t="shared" si="16"/>
        <v>C/V - M/O CLIENT BMW CAMION</v>
      </c>
      <c r="N211" s="151">
        <f>+IF(OR($Q211=Parametres!$G$2,$Q211=Parametres!$G$3),I211,C211)</f>
        <v>0</v>
      </c>
      <c r="O211" s="151">
        <f>+IF(OR($Q211=Parametres!$G$2,$Q211=Parametres!$G$3),J211,D211)</f>
        <v>5042.6000000000004</v>
      </c>
      <c r="P211" s="151">
        <f>+IF(OR($Q211=Parametres!$G$2,$Q211=Parametres!$G$3),K211,E211)</f>
        <v>5042.6000000000004</v>
      </c>
      <c r="Q211" s="150" t="str">
        <f t="shared" si="17"/>
        <v>6-Coût des ventes</v>
      </c>
      <c r="R211" s="149" t="str">
        <f t="shared" si="18"/>
        <v>460A</v>
      </c>
      <c r="S211" s="150" t="str">
        <f t="shared" si="19"/>
        <v>_</v>
      </c>
      <c r="T211" s="152" t="str">
        <f>+VLOOKUP($L211,Data_Validation!$A:$D,1,0)</f>
        <v>660B</v>
      </c>
      <c r="U211" s="152" t="str">
        <f>+VLOOKUP($L211,Data_Validation!$A:$D,3,0)</f>
        <v>service</v>
      </c>
      <c r="V211" s="152" t="str">
        <f>+VLOOKUP($L211,Data_Validation!$A:$D,4,0)</f>
        <v>M/O Client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08" t="s">
        <v>1058</v>
      </c>
      <c r="B212" s="708" t="s">
        <v>837</v>
      </c>
      <c r="C212" s="710">
        <v>0</v>
      </c>
      <c r="D212" s="710">
        <v>457.28</v>
      </c>
      <c r="E212" s="710">
        <v>457.28</v>
      </c>
      <c r="F212" s="708" t="s">
        <v>2014</v>
      </c>
      <c r="G212" s="708" t="s">
        <v>1116</v>
      </c>
      <c r="H212" s="664" t="s">
        <v>3000</v>
      </c>
      <c r="I212" s="663"/>
      <c r="J212" s="663"/>
      <c r="K212" s="663"/>
      <c r="L212" s="149" t="str">
        <f t="shared" si="15"/>
        <v>660D</v>
      </c>
      <c r="M212" s="150" t="str">
        <f t="shared" si="16"/>
        <v>C/V - M/O CLIENT BMW I</v>
      </c>
      <c r="N212" s="151">
        <f>+IF(OR($Q212=Parametres!$G$2,$Q212=Parametres!$G$3),I212,C212)</f>
        <v>0</v>
      </c>
      <c r="O212" s="151">
        <f>+IF(OR($Q212=Parametres!$G$2,$Q212=Parametres!$G$3),J212,D212)</f>
        <v>457.28</v>
      </c>
      <c r="P212" s="151">
        <f>+IF(OR($Q212=Parametres!$G$2,$Q212=Parametres!$G$3),K212,E212)</f>
        <v>457.28</v>
      </c>
      <c r="Q212" s="150" t="str">
        <f t="shared" si="17"/>
        <v>6-Coût des ventes</v>
      </c>
      <c r="R212" s="149" t="str">
        <f t="shared" si="18"/>
        <v>460A</v>
      </c>
      <c r="S212" s="150" t="str">
        <f t="shared" si="19"/>
        <v>_</v>
      </c>
      <c r="T212" s="152" t="str">
        <f>+VLOOKUP($L212,Data_Validation!$A:$D,1,0)</f>
        <v>660D</v>
      </c>
      <c r="U212" s="152" t="str">
        <f>+VLOOKUP($L212,Data_Validation!$A:$D,3,0)</f>
        <v>service</v>
      </c>
      <c r="V212" s="152" t="str">
        <f>+VLOOKUP($L212,Data_Validation!$A:$D,4,0)</f>
        <v>M/O Client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customHeight="1">
      <c r="A213" s="708" t="s">
        <v>1768</v>
      </c>
      <c r="B213" s="708" t="s">
        <v>1769</v>
      </c>
      <c r="C213" s="710">
        <v>0</v>
      </c>
      <c r="D213" s="710">
        <v>1754.28</v>
      </c>
      <c r="E213" s="710">
        <v>1754.28</v>
      </c>
      <c r="F213" s="708" t="s">
        <v>2014</v>
      </c>
      <c r="G213" s="708" t="s">
        <v>1110</v>
      </c>
      <c r="H213" s="664" t="s">
        <v>3000</v>
      </c>
      <c r="I213" s="663"/>
      <c r="J213" s="663"/>
      <c r="K213" s="663"/>
      <c r="L213" s="149" t="str">
        <f t="shared" si="15"/>
        <v>661A</v>
      </c>
      <c r="M213" s="150" t="str">
        <f t="shared" si="16"/>
        <v>C/V - M/O GARANTIE BMW AUTO</v>
      </c>
      <c r="N213" s="151">
        <f>+IF(OR($Q213=Parametres!$G$2,$Q213=Parametres!$G$3),I213,C213)</f>
        <v>0</v>
      </c>
      <c r="O213" s="151">
        <f>+IF(OR($Q213=Parametres!$G$2,$Q213=Parametres!$G$3),J213,D213)</f>
        <v>1754.28</v>
      </c>
      <c r="P213" s="151">
        <f>+IF(OR($Q213=Parametres!$G$2,$Q213=Parametres!$G$3),K213,E213)</f>
        <v>1754.28</v>
      </c>
      <c r="Q213" s="150" t="str">
        <f t="shared" si="17"/>
        <v>6-Coût des ventes</v>
      </c>
      <c r="R213" s="149" t="str">
        <f t="shared" si="18"/>
        <v>461A</v>
      </c>
      <c r="S213" s="150" t="str">
        <f t="shared" si="19"/>
        <v>_</v>
      </c>
      <c r="T213" s="152" t="str">
        <f>+VLOOKUP($L213,Data_Validation!$A:$D,1,0)</f>
        <v>661A</v>
      </c>
      <c r="U213" s="152" t="str">
        <f>+VLOOKUP($L213,Data_Validation!$A:$D,3,0)</f>
        <v>service</v>
      </c>
      <c r="V213" s="152" t="str">
        <f>+VLOOKUP($L213,Data_Validation!$A:$D,4,0)</f>
        <v>M/O Garantie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08" t="s">
        <v>1785</v>
      </c>
      <c r="B214" s="708" t="s">
        <v>912</v>
      </c>
      <c r="C214" s="710">
        <v>0</v>
      </c>
      <c r="D214" s="710">
        <v>2564.2399999999998</v>
      </c>
      <c r="E214" s="710">
        <v>2564.2399999999998</v>
      </c>
      <c r="F214" s="708" t="s">
        <v>2014</v>
      </c>
      <c r="G214" s="708" t="s">
        <v>1110</v>
      </c>
      <c r="H214" s="709" t="s">
        <v>3000</v>
      </c>
      <c r="I214" s="709"/>
      <c r="J214" s="709"/>
      <c r="K214" s="709"/>
      <c r="L214" s="149" t="str">
        <f t="shared" si="15"/>
        <v>661B</v>
      </c>
      <c r="M214" s="150" t="str">
        <f t="shared" si="16"/>
        <v>C/V - M/O GARANTIE BMW CAMION</v>
      </c>
      <c r="N214" s="151">
        <f>+IF(OR($Q214=Parametres!$G$2,$Q214=Parametres!$G$3),I214,C214)</f>
        <v>0</v>
      </c>
      <c r="O214" s="151">
        <f>+IF(OR($Q214=Parametres!$G$2,$Q214=Parametres!$G$3),J214,D214)</f>
        <v>2564.2399999999998</v>
      </c>
      <c r="P214" s="151">
        <f>+IF(OR($Q214=Parametres!$G$2,$Q214=Parametres!$G$3),K214,E214)</f>
        <v>2564.2399999999998</v>
      </c>
      <c r="Q214" s="150" t="str">
        <f t="shared" si="17"/>
        <v>6-Coût des ventes</v>
      </c>
      <c r="R214" s="149" t="str">
        <f t="shared" si="18"/>
        <v>461A</v>
      </c>
      <c r="S214" s="150" t="str">
        <f t="shared" si="19"/>
        <v>_</v>
      </c>
      <c r="T214" s="152" t="str">
        <f>+VLOOKUP($L214,Data_Validation!$A:$D,1,0)</f>
        <v>661B</v>
      </c>
      <c r="U214" s="152" t="str">
        <f>+VLOOKUP($L214,Data_Validation!$A:$D,3,0)</f>
        <v>service</v>
      </c>
      <c r="V214" s="152" t="str">
        <f>+VLOOKUP($L214,Data_Validation!$A:$D,4,0)</f>
        <v>M/O Garantie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08" t="s">
        <v>1683</v>
      </c>
      <c r="B215" s="708" t="s">
        <v>886</v>
      </c>
      <c r="C215" s="710">
        <v>0</v>
      </c>
      <c r="D215" s="710">
        <v>187.15</v>
      </c>
      <c r="E215" s="710">
        <v>187.15</v>
      </c>
      <c r="F215" s="708" t="s">
        <v>2014</v>
      </c>
      <c r="G215" s="708" t="s">
        <v>441</v>
      </c>
      <c r="H215" s="664" t="s">
        <v>3000</v>
      </c>
      <c r="I215" s="663"/>
      <c r="J215" s="663"/>
      <c r="K215" s="663"/>
      <c r="L215" s="149" t="str">
        <f t="shared" si="15"/>
        <v>661D</v>
      </c>
      <c r="M215" s="150" t="str">
        <f t="shared" si="16"/>
        <v>C/V - M/O ENTRETIEN BMW AUTO</v>
      </c>
      <c r="N215" s="151">
        <f>+IF(OR($Q215=Parametres!$G$2,$Q215=Parametres!$G$3),I215,C215)</f>
        <v>0</v>
      </c>
      <c r="O215" s="151">
        <f>+IF(OR($Q215=Parametres!$G$2,$Q215=Parametres!$G$3),J215,D215)</f>
        <v>187.15</v>
      </c>
      <c r="P215" s="151">
        <f>+IF(OR($Q215=Parametres!$G$2,$Q215=Parametres!$G$3),K215,E215)</f>
        <v>187.15</v>
      </c>
      <c r="Q215" s="150" t="str">
        <f t="shared" si="17"/>
        <v>6-Coût des ventes</v>
      </c>
      <c r="R215" s="149" t="str">
        <f t="shared" si="18"/>
        <v>461D</v>
      </c>
      <c r="S215" s="150" t="str">
        <f t="shared" si="19"/>
        <v>_</v>
      </c>
      <c r="T215" s="152" t="str">
        <f>+VLOOKUP($L215,Data_Validation!$A:$D,1,0)</f>
        <v>661D</v>
      </c>
      <c r="U215" s="152" t="str">
        <f>+VLOOKUP($L215,Data_Validation!$A:$D,3,0)</f>
        <v>service</v>
      </c>
      <c r="V215" s="152" t="str">
        <f>+VLOOKUP($L215,Data_Validation!$A:$D,4,0)</f>
        <v>M/O Garantie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08" t="s">
        <v>1713</v>
      </c>
      <c r="B216" s="708" t="s">
        <v>905</v>
      </c>
      <c r="C216" s="710">
        <v>0</v>
      </c>
      <c r="D216" s="710">
        <v>1655.57</v>
      </c>
      <c r="E216" s="710">
        <v>1655.57</v>
      </c>
      <c r="F216" s="708" t="s">
        <v>2014</v>
      </c>
      <c r="G216" s="708" t="s">
        <v>441</v>
      </c>
      <c r="H216" s="600" t="s">
        <v>3000</v>
      </c>
      <c r="I216" s="153"/>
      <c r="J216" s="153"/>
      <c r="K216" s="153"/>
      <c r="L216" s="149" t="str">
        <f t="shared" si="15"/>
        <v>661E</v>
      </c>
      <c r="M216" s="150" t="str">
        <f t="shared" si="16"/>
        <v>C/V - M/O ENTRETIEN BMW CAMION</v>
      </c>
      <c r="N216" s="151">
        <f>+IF(OR($Q216=Parametres!$G$2,$Q216=Parametres!$G$3),I216,C216)</f>
        <v>0</v>
      </c>
      <c r="O216" s="151">
        <f>+IF(OR($Q216=Parametres!$G$2,$Q216=Parametres!$G$3),J216,D216)</f>
        <v>1655.57</v>
      </c>
      <c r="P216" s="151">
        <f>+IF(OR($Q216=Parametres!$G$2,$Q216=Parametres!$G$3),K216,E216)</f>
        <v>1655.57</v>
      </c>
      <c r="Q216" s="150" t="str">
        <f t="shared" si="17"/>
        <v>6-Coût des ventes</v>
      </c>
      <c r="R216" s="149" t="str">
        <f t="shared" si="18"/>
        <v>461D</v>
      </c>
      <c r="S216" s="150" t="str">
        <f t="shared" si="19"/>
        <v>_</v>
      </c>
      <c r="T216" s="152" t="str">
        <f>+VLOOKUP($L216,Data_Validation!$A:$D,1,0)</f>
        <v>661E</v>
      </c>
      <c r="U216" s="152" t="str">
        <f>+VLOOKUP($L216,Data_Validation!$A:$D,3,0)</f>
        <v>service</v>
      </c>
      <c r="V216" s="152" t="str">
        <f>+VLOOKUP($L216,Data_Validation!$A:$D,4,0)</f>
        <v>M/O Garantie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08" t="s">
        <v>1620</v>
      </c>
      <c r="B217" s="708" t="s">
        <v>822</v>
      </c>
      <c r="C217" s="710">
        <v>0</v>
      </c>
      <c r="D217" s="710">
        <v>71.900000000000006</v>
      </c>
      <c r="E217" s="710">
        <v>71.900000000000006</v>
      </c>
      <c r="F217" s="708" t="s">
        <v>2014</v>
      </c>
      <c r="G217" s="708" t="s">
        <v>441</v>
      </c>
      <c r="H217" s="664" t="s">
        <v>3000</v>
      </c>
      <c r="I217" s="663"/>
      <c r="J217" s="663"/>
      <c r="K217" s="663"/>
      <c r="L217" s="149" t="str">
        <f t="shared" si="15"/>
        <v>661G</v>
      </c>
      <c r="M217" s="150" t="str">
        <f t="shared" si="16"/>
        <v>C/V - M/O ENTRETIEN BMW I</v>
      </c>
      <c r="N217" s="151">
        <f>+IF(OR($Q217=Parametres!$G$2,$Q217=Parametres!$G$3),I217,C217)</f>
        <v>0</v>
      </c>
      <c r="O217" s="151">
        <f>+IF(OR($Q217=Parametres!$G$2,$Q217=Parametres!$G$3),J217,D217)</f>
        <v>71.900000000000006</v>
      </c>
      <c r="P217" s="151">
        <f>+IF(OR($Q217=Parametres!$G$2,$Q217=Parametres!$G$3),K217,E217)</f>
        <v>71.900000000000006</v>
      </c>
      <c r="Q217" s="150" t="str">
        <f t="shared" si="17"/>
        <v>6-Coût des ventes</v>
      </c>
      <c r="R217" s="149" t="str">
        <f t="shared" si="18"/>
        <v>461D</v>
      </c>
      <c r="S217" s="150" t="str">
        <f t="shared" si="19"/>
        <v>_</v>
      </c>
      <c r="T217" s="152" t="str">
        <f>+VLOOKUP($L217,Data_Validation!$A:$D,1,0)</f>
        <v>661G</v>
      </c>
      <c r="U217" s="152" t="str">
        <f>+VLOOKUP($L217,Data_Validation!$A:$D,3,0)</f>
        <v>service</v>
      </c>
      <c r="V217" s="152" t="str">
        <f>+VLOOKUP($L217,Data_Validation!$A:$D,4,0)</f>
        <v>M/O Garantie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08" t="s">
        <v>1033</v>
      </c>
      <c r="B218" s="708" t="s">
        <v>777</v>
      </c>
      <c r="C218" s="710">
        <v>0</v>
      </c>
      <c r="D218" s="710">
        <v>1697.87</v>
      </c>
      <c r="E218" s="710">
        <v>1697.87</v>
      </c>
      <c r="F218" s="708" t="s">
        <v>2014</v>
      </c>
      <c r="G218" s="708" t="s">
        <v>1110</v>
      </c>
      <c r="H218" s="709" t="s">
        <v>3000</v>
      </c>
      <c r="I218" s="709"/>
      <c r="J218" s="709"/>
      <c r="K218" s="709"/>
      <c r="L218" s="149" t="str">
        <f t="shared" si="15"/>
        <v>661H</v>
      </c>
      <c r="M218" s="150" t="str">
        <f t="shared" si="16"/>
        <v>C/V - M/O GARANTIE BMW I</v>
      </c>
      <c r="N218" s="151">
        <f>+IF(OR($Q218=Parametres!$G$2,$Q218=Parametres!$G$3),I218,C218)</f>
        <v>0</v>
      </c>
      <c r="O218" s="151">
        <f>+IF(OR($Q218=Parametres!$G$2,$Q218=Parametres!$G$3),J218,D218)</f>
        <v>1697.87</v>
      </c>
      <c r="P218" s="151">
        <f>+IF(OR($Q218=Parametres!$G$2,$Q218=Parametres!$G$3),K218,E218)</f>
        <v>1697.87</v>
      </c>
      <c r="Q218" s="150" t="str">
        <f t="shared" si="17"/>
        <v>6-Coût des ventes</v>
      </c>
      <c r="R218" s="149" t="str">
        <f t="shared" si="18"/>
        <v>461A</v>
      </c>
      <c r="S218" s="150" t="str">
        <f t="shared" si="19"/>
        <v>_</v>
      </c>
      <c r="T218" s="152" t="str">
        <f>+VLOOKUP($L218,Data_Validation!$A:$D,1,0)</f>
        <v>661H</v>
      </c>
      <c r="U218" s="152" t="str">
        <f>+VLOOKUP($L218,Data_Validation!$A:$D,3,0)</f>
        <v>service</v>
      </c>
      <c r="V218" s="152" t="str">
        <f>+VLOOKUP($L218,Data_Validation!$A:$D,4,0)</f>
        <v>M/O Garantie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08" t="s">
        <v>1721</v>
      </c>
      <c r="B219" s="708" t="s">
        <v>1722</v>
      </c>
      <c r="C219" s="710">
        <v>0</v>
      </c>
      <c r="D219" s="710">
        <v>3374</v>
      </c>
      <c r="E219" s="710">
        <v>3374</v>
      </c>
      <c r="F219" s="708" t="s">
        <v>2014</v>
      </c>
      <c r="G219" s="708" t="s">
        <v>1139</v>
      </c>
      <c r="H219" s="664" t="s">
        <v>3000</v>
      </c>
      <c r="I219" s="663"/>
      <c r="J219" s="663"/>
      <c r="K219" s="663"/>
      <c r="L219" s="149" t="str">
        <f t="shared" si="15"/>
        <v>662A</v>
      </c>
      <c r="M219" s="150" t="str">
        <f t="shared" si="16"/>
        <v>C/V - M/O INTERNE BMW AUTO</v>
      </c>
      <c r="N219" s="151">
        <f>+IF(OR($Q219=Parametres!$G$2,$Q219=Parametres!$G$3),I219,C219)</f>
        <v>0</v>
      </c>
      <c r="O219" s="151">
        <f>+IF(OR($Q219=Parametres!$G$2,$Q219=Parametres!$G$3),J219,D219)</f>
        <v>3374</v>
      </c>
      <c r="P219" s="151">
        <f>+IF(OR($Q219=Parametres!$G$2,$Q219=Parametres!$G$3),K219,E219)</f>
        <v>3374</v>
      </c>
      <c r="Q219" s="150" t="str">
        <f t="shared" si="17"/>
        <v>6-Coût des ventes</v>
      </c>
      <c r="R219" s="149" t="str">
        <f t="shared" si="18"/>
        <v>462A</v>
      </c>
      <c r="S219" s="150" t="str">
        <f t="shared" si="19"/>
        <v>_</v>
      </c>
      <c r="T219" s="152" t="str">
        <f>+VLOOKUP($L219,Data_Validation!$A:$D,1,0)</f>
        <v>662A</v>
      </c>
      <c r="U219" s="152" t="str">
        <f>+VLOOKUP($L219,Data_Validation!$A:$D,3,0)</f>
        <v>service</v>
      </c>
      <c r="V219" s="152" t="str">
        <f>+VLOOKUP($L219,Data_Validation!$A:$D,4,0)</f>
        <v>M/O Interne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08" t="s">
        <v>1725</v>
      </c>
      <c r="B220" s="708" t="s">
        <v>923</v>
      </c>
      <c r="C220" s="710">
        <v>0</v>
      </c>
      <c r="D220" s="710">
        <v>4219.71</v>
      </c>
      <c r="E220" s="710">
        <v>4219.71</v>
      </c>
      <c r="F220" s="708" t="s">
        <v>2014</v>
      </c>
      <c r="G220" s="708" t="s">
        <v>1139</v>
      </c>
      <c r="H220" s="664" t="s">
        <v>3000</v>
      </c>
      <c r="I220" s="663"/>
      <c r="J220" s="663"/>
      <c r="K220" s="663"/>
      <c r="L220" s="149" t="str">
        <f t="shared" si="15"/>
        <v>662B</v>
      </c>
      <c r="M220" s="150" t="str">
        <f t="shared" si="16"/>
        <v>C/V - M/O INTERNE BMW CAMION</v>
      </c>
      <c r="N220" s="151">
        <f>+IF(OR($Q220=Parametres!$G$2,$Q220=Parametres!$G$3),I220,C220)</f>
        <v>0</v>
      </c>
      <c r="O220" s="151">
        <f>+IF(OR($Q220=Parametres!$G$2,$Q220=Parametres!$G$3),J220,D220)</f>
        <v>4219.71</v>
      </c>
      <c r="P220" s="151">
        <f>+IF(OR($Q220=Parametres!$G$2,$Q220=Parametres!$G$3),K220,E220)</f>
        <v>4219.71</v>
      </c>
      <c r="Q220" s="150" t="str">
        <f t="shared" si="17"/>
        <v>6-Coût des ventes</v>
      </c>
      <c r="R220" s="149" t="str">
        <f t="shared" si="18"/>
        <v>462A</v>
      </c>
      <c r="S220" s="150" t="str">
        <f t="shared" si="19"/>
        <v>_</v>
      </c>
      <c r="T220" s="152" t="str">
        <f>+VLOOKUP($L220,Data_Validation!$A:$D,1,0)</f>
        <v>662B</v>
      </c>
      <c r="U220" s="152" t="str">
        <f>+VLOOKUP($L220,Data_Validation!$A:$D,3,0)</f>
        <v>service</v>
      </c>
      <c r="V220" s="152" t="str">
        <f>+VLOOKUP($L220,Data_Validation!$A:$D,4,0)</f>
        <v>M/O Interne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08" t="s">
        <v>1057</v>
      </c>
      <c r="B221" s="708" t="s">
        <v>780</v>
      </c>
      <c r="C221" s="710">
        <v>0</v>
      </c>
      <c r="D221" s="710">
        <v>294.5</v>
      </c>
      <c r="E221" s="710">
        <v>294.5</v>
      </c>
      <c r="F221" s="708" t="s">
        <v>2014</v>
      </c>
      <c r="G221" s="708" t="s">
        <v>1139</v>
      </c>
      <c r="H221" s="657" t="s">
        <v>3000</v>
      </c>
      <c r="I221" s="656"/>
      <c r="J221" s="656"/>
      <c r="K221" s="656"/>
      <c r="L221" s="149" t="str">
        <f t="shared" si="15"/>
        <v>662D</v>
      </c>
      <c r="M221" s="150" t="str">
        <f t="shared" si="16"/>
        <v>C/V - M/O INTERNE BMW I</v>
      </c>
      <c r="N221" s="151">
        <f>+IF(OR($Q221=Parametres!$G$2,$Q221=Parametres!$G$3),I221,C221)</f>
        <v>0</v>
      </c>
      <c r="O221" s="151">
        <f>+IF(OR($Q221=Parametres!$G$2,$Q221=Parametres!$G$3),J221,D221)</f>
        <v>294.5</v>
      </c>
      <c r="P221" s="151">
        <f>+IF(OR($Q221=Parametres!$G$2,$Q221=Parametres!$G$3),K221,E221)</f>
        <v>294.5</v>
      </c>
      <c r="Q221" s="150" t="str">
        <f t="shared" si="17"/>
        <v>6-Coût des ventes</v>
      </c>
      <c r="R221" s="149" t="str">
        <f t="shared" si="18"/>
        <v>462A</v>
      </c>
      <c r="S221" s="150" t="str">
        <f t="shared" si="19"/>
        <v>_</v>
      </c>
      <c r="T221" s="152" t="str">
        <f>+VLOOKUP($L221,Data_Validation!$A:$D,1,0)</f>
        <v>662D</v>
      </c>
      <c r="U221" s="152" t="str">
        <f>+VLOOKUP($L221,Data_Validation!$A:$D,3,0)</f>
        <v>service</v>
      </c>
      <c r="V221" s="152" t="str">
        <f>+VLOOKUP($L221,Data_Validation!$A:$D,4,0)</f>
        <v>M/O Interne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08" t="s">
        <v>2179</v>
      </c>
      <c r="B222" s="708" t="s">
        <v>2180</v>
      </c>
      <c r="C222" s="710">
        <v>0</v>
      </c>
      <c r="D222" s="710">
        <v>575</v>
      </c>
      <c r="E222" s="710">
        <v>575</v>
      </c>
      <c r="F222" s="708" t="s">
        <v>2014</v>
      </c>
      <c r="G222" s="708" t="s">
        <v>1139</v>
      </c>
      <c r="H222" s="664" t="s">
        <v>3000</v>
      </c>
      <c r="I222" s="664"/>
      <c r="J222" s="664"/>
      <c r="K222" s="664"/>
      <c r="L222" s="149" t="str">
        <f t="shared" si="15"/>
        <v>662M</v>
      </c>
      <c r="M222" s="150" t="str">
        <f t="shared" si="16"/>
        <v>C/V - SUBLET INTERNE CAMION</v>
      </c>
      <c r="N222" s="151">
        <f>+IF(OR($Q222=Parametres!$G$2,$Q222=Parametres!$G$3),I222,C222)</f>
        <v>0</v>
      </c>
      <c r="O222" s="151">
        <f>+IF(OR($Q222=Parametres!$G$2,$Q222=Parametres!$G$3),J222,D222)</f>
        <v>575</v>
      </c>
      <c r="P222" s="151">
        <f>+IF(OR($Q222=Parametres!$G$2,$Q222=Parametres!$G$3),K222,E222)</f>
        <v>575</v>
      </c>
      <c r="Q222" s="150" t="str">
        <f t="shared" si="17"/>
        <v>6-Coût des ventes</v>
      </c>
      <c r="R222" s="149" t="str">
        <f t="shared" si="18"/>
        <v>462A</v>
      </c>
      <c r="S222" s="150" t="str">
        <f t="shared" si="19"/>
        <v>_</v>
      </c>
      <c r="T222" s="152" t="str">
        <f>+VLOOKUP($L222,Data_Validation!$A:$D,1,0)</f>
        <v>662M</v>
      </c>
      <c r="U222" s="152" t="str">
        <f>+VLOOKUP($L222,Data_Validation!$A:$D,3,0)</f>
        <v>Service</v>
      </c>
      <c r="V222" s="152" t="str">
        <f>+VLOOKUP($L222,Data_Validation!$A:$D,4,0)</f>
        <v>M/O Interne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08" t="s">
        <v>1775</v>
      </c>
      <c r="B223" s="708" t="s">
        <v>898</v>
      </c>
      <c r="C223" s="710">
        <v>0</v>
      </c>
      <c r="D223" s="710">
        <v>331.8</v>
      </c>
      <c r="E223" s="710">
        <v>331.8</v>
      </c>
      <c r="F223" s="708" t="s">
        <v>2014</v>
      </c>
      <c r="G223" s="708" t="s">
        <v>1143</v>
      </c>
      <c r="H223" s="664" t="s">
        <v>3000</v>
      </c>
      <c r="I223" s="663"/>
      <c r="J223" s="663"/>
      <c r="K223" s="663"/>
      <c r="L223" s="149" t="str">
        <f t="shared" si="15"/>
        <v>663B</v>
      </c>
      <c r="M223" s="150" t="str">
        <f t="shared" si="16"/>
        <v>C/V - SOUS-TRAITANCE BMW CAMION</v>
      </c>
      <c r="N223" s="151">
        <f>+IF(OR($Q223=Parametres!$G$2,$Q223=Parametres!$G$3),I223,C223)</f>
        <v>0</v>
      </c>
      <c r="O223" s="497">
        <f>+IF(OR($Q223=Parametres!$G$2,$Q223=Parametres!$G$3),J223,D223)</f>
        <v>331.8</v>
      </c>
      <c r="P223" s="151">
        <f>+IF(OR($Q223=Parametres!$G$2,$Q223=Parametres!$G$3),K223,E223)</f>
        <v>331.8</v>
      </c>
      <c r="Q223" s="150" t="str">
        <f t="shared" si="17"/>
        <v>6-Coût des ventes</v>
      </c>
      <c r="R223" s="149" t="str">
        <f t="shared" si="18"/>
        <v>463A</v>
      </c>
      <c r="S223" s="150" t="str">
        <f t="shared" si="19"/>
        <v>_</v>
      </c>
      <c r="T223" s="152" t="str">
        <f>+VLOOKUP($L223,Data_Validation!$A:$D,1,0)</f>
        <v>663B</v>
      </c>
      <c r="U223" s="152" t="str">
        <f>+VLOOKUP($L223,Data_Validation!$A:$D,3,0)</f>
        <v>service</v>
      </c>
      <c r="V223" s="152" t="str">
        <f>+VLOOKUP($L223,Data_Validation!$A:$D,4,0)</f>
        <v>Sous-traitement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08" t="s">
        <v>1652</v>
      </c>
      <c r="B224" s="708" t="s">
        <v>1653</v>
      </c>
      <c r="C224" s="710">
        <v>0</v>
      </c>
      <c r="D224" s="710">
        <v>2215.33</v>
      </c>
      <c r="E224" s="710">
        <v>2215.33</v>
      </c>
      <c r="F224" s="708" t="s">
        <v>2014</v>
      </c>
      <c r="G224" s="708" t="s">
        <v>2253</v>
      </c>
      <c r="H224" s="664" t="s">
        <v>3000</v>
      </c>
      <c r="I224" s="663"/>
      <c r="J224" s="663"/>
      <c r="K224" s="663"/>
      <c r="L224" s="149" t="str">
        <f t="shared" si="15"/>
        <v>664A</v>
      </c>
      <c r="M224" s="150" t="str">
        <f t="shared" si="16"/>
        <v>C/V - AJUST. M/O BMW AUTO</v>
      </c>
      <c r="N224" s="151">
        <f>+IF(OR($Q224=Parametres!$G$2,$Q224=Parametres!$G$3),I224,C224)</f>
        <v>0</v>
      </c>
      <c r="O224" s="497">
        <f>+IF(OR($Q224=Parametres!$G$2,$Q224=Parametres!$G$3),J224,D224)</f>
        <v>2215.33</v>
      </c>
      <c r="P224" s="151">
        <f>+IF(OR($Q224=Parametres!$G$2,$Q224=Parametres!$G$3),K224,E224)</f>
        <v>2215.33</v>
      </c>
      <c r="Q224" s="150" t="str">
        <f t="shared" si="17"/>
        <v>6-Coût des ventes</v>
      </c>
      <c r="R224" s="149" t="str">
        <f t="shared" si="18"/>
        <v>464</v>
      </c>
      <c r="S224" s="150" t="str">
        <f t="shared" si="19"/>
        <v>_</v>
      </c>
      <c r="T224" s="152" t="str">
        <f>+VLOOKUP($L224,Data_Validation!$A:$D,1,0)</f>
        <v>664A</v>
      </c>
      <c r="U224" s="152" t="str">
        <f>+VLOOKUP($L224,Data_Validation!$A:$D,3,0)</f>
        <v>service</v>
      </c>
      <c r="V224" s="152" t="str">
        <f>+VLOOKUP($L224,Data_Validation!$A:$D,4,0)</f>
        <v>Ajustement M/O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08" t="s">
        <v>1635</v>
      </c>
      <c r="B225" s="708" t="s">
        <v>1636</v>
      </c>
      <c r="C225" s="709">
        <v>0</v>
      </c>
      <c r="D225" s="1274">
        <v>1476.89</v>
      </c>
      <c r="E225" s="1274">
        <v>1476.89</v>
      </c>
      <c r="F225" s="708" t="s">
        <v>2014</v>
      </c>
      <c r="G225" s="708" t="s">
        <v>2253</v>
      </c>
      <c r="H225" s="709" t="s">
        <v>3000</v>
      </c>
      <c r="I225" s="710"/>
      <c r="J225" s="710"/>
      <c r="K225" s="710"/>
      <c r="L225" s="149" t="str">
        <f t="shared" si="15"/>
        <v>664B</v>
      </c>
      <c r="M225" s="150" t="str">
        <f t="shared" si="16"/>
        <v>C/V - AJUST. M/O BMW CAMION</v>
      </c>
      <c r="N225" s="151">
        <f>+IF(OR($Q225=Parametres!$G$2,$Q225=Parametres!$G$3),I225,C225)</f>
        <v>0</v>
      </c>
      <c r="O225" s="151">
        <f>+IF(OR($Q225=Parametres!$G$2,$Q225=Parametres!$G$3),J225,D225)</f>
        <v>1476.89</v>
      </c>
      <c r="P225" s="151">
        <f>+IF(OR($Q225=Parametres!$G$2,$Q225=Parametres!$G$3),K225,E225)</f>
        <v>1476.89</v>
      </c>
      <c r="Q225" s="150" t="str">
        <f t="shared" si="17"/>
        <v>6-Coût des ventes</v>
      </c>
      <c r="R225" s="149" t="str">
        <f t="shared" si="18"/>
        <v>464</v>
      </c>
      <c r="S225" s="150" t="str">
        <f t="shared" si="19"/>
        <v>_</v>
      </c>
      <c r="T225" s="152" t="str">
        <f>+VLOOKUP($L225,Data_Validation!$A:$D,1,0)</f>
        <v>664B</v>
      </c>
      <c r="U225" s="152" t="str">
        <f>+VLOOKUP($L225,Data_Validation!$A:$D,3,0)</f>
        <v>service</v>
      </c>
      <c r="V225" s="152" t="str">
        <f>+VLOOKUP($L225,Data_Validation!$A:$D,4,0)</f>
        <v>Ajustement M/O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08" t="s">
        <v>1803</v>
      </c>
      <c r="B226" s="708" t="s">
        <v>1804</v>
      </c>
      <c r="C226" s="709">
        <v>0</v>
      </c>
      <c r="D226" s="1274">
        <v>11696.04</v>
      </c>
      <c r="E226" s="1274">
        <v>11696.04</v>
      </c>
      <c r="F226" s="708" t="s">
        <v>2014</v>
      </c>
      <c r="G226" s="708" t="s">
        <v>1120</v>
      </c>
      <c r="H226" s="709" t="s">
        <v>3000</v>
      </c>
      <c r="I226" s="710"/>
      <c r="J226" s="710"/>
      <c r="K226" s="710"/>
      <c r="L226" s="149" t="str">
        <f t="shared" si="15"/>
        <v>670A</v>
      </c>
      <c r="M226" s="150" t="str">
        <f t="shared" si="16"/>
        <v>C/V - PIECES BT CLIENT BMW AUTO</v>
      </c>
      <c r="N226" s="151">
        <f>+IF(OR($Q226=Parametres!$G$2,$Q226=Parametres!$G$3),I226,C226)</f>
        <v>0</v>
      </c>
      <c r="O226" s="494">
        <f>+IF(OR($Q226=Parametres!$G$2,$Q226=Parametres!$G$3),J226,D226)</f>
        <v>11696.04</v>
      </c>
      <c r="P226" s="151">
        <f>+IF(OR($Q226=Parametres!$G$2,$Q226=Parametres!$G$3),K226,E226)</f>
        <v>11696.04</v>
      </c>
      <c r="Q226" s="150" t="str">
        <f t="shared" si="17"/>
        <v>6-Coût des ventes</v>
      </c>
      <c r="R226" s="149" t="str">
        <f t="shared" si="18"/>
        <v>470A</v>
      </c>
      <c r="S226" s="150" t="str">
        <f t="shared" si="19"/>
        <v>_</v>
      </c>
      <c r="T226" s="152" t="str">
        <f>+VLOOKUP($L226,Data_Validation!$A:$D,1,0)</f>
        <v>670A</v>
      </c>
      <c r="U226" s="152" t="str">
        <f>+VLOOKUP($L226,Data_Validation!$A:$D,3,0)</f>
        <v>Pièces</v>
      </c>
      <c r="V226" s="152" t="str">
        <f>+VLOOKUP($L226,Data_Validation!$A:$D,4,0)</f>
        <v>Pièces Ro Clients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08" t="s">
        <v>1784</v>
      </c>
      <c r="B227" s="708" t="s">
        <v>960</v>
      </c>
      <c r="C227" s="709">
        <v>0</v>
      </c>
      <c r="D227" s="1274">
        <v>15080</v>
      </c>
      <c r="E227" s="1274">
        <v>15080</v>
      </c>
      <c r="F227" s="708" t="s">
        <v>2014</v>
      </c>
      <c r="G227" s="708" t="s">
        <v>1120</v>
      </c>
      <c r="H227" s="709" t="s">
        <v>3000</v>
      </c>
      <c r="I227" s="710"/>
      <c r="J227" s="710"/>
      <c r="K227" s="710"/>
      <c r="L227" s="149" t="str">
        <f t="shared" si="15"/>
        <v>670B</v>
      </c>
      <c r="M227" s="150" t="str">
        <f t="shared" si="16"/>
        <v>C/V - PIECES BT CLIENT BMW CAMION</v>
      </c>
      <c r="N227" s="151">
        <f>+IF(OR($Q227=Parametres!$G$2,$Q227=Parametres!$G$3),I227,C227)</f>
        <v>0</v>
      </c>
      <c r="O227" s="151">
        <f>+IF(OR($Q227=Parametres!$G$2,$Q227=Parametres!$G$3),J227,D227)</f>
        <v>15080</v>
      </c>
      <c r="P227" s="151">
        <f>+IF(OR($Q227=Parametres!$G$2,$Q227=Parametres!$G$3),K227,E227)</f>
        <v>15080</v>
      </c>
      <c r="Q227" s="150" t="str">
        <f t="shared" si="17"/>
        <v>6-Coût des ventes</v>
      </c>
      <c r="R227" s="149" t="str">
        <f t="shared" si="18"/>
        <v>470A</v>
      </c>
      <c r="S227" s="150" t="str">
        <f t="shared" si="19"/>
        <v>_</v>
      </c>
      <c r="T227" s="152" t="str">
        <f>+VLOOKUP($L227,Data_Validation!$A:$D,1,0)</f>
        <v>670B</v>
      </c>
      <c r="U227" s="152" t="str">
        <f>+VLOOKUP($L227,Data_Validation!$A:$D,3,0)</f>
        <v>Pièces</v>
      </c>
      <c r="V227" s="152" t="str">
        <f>+VLOOKUP($L227,Data_Validation!$A:$D,4,0)</f>
        <v>Pièces Ro Clients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08" t="s">
        <v>1606</v>
      </c>
      <c r="B228" s="708" t="s">
        <v>880</v>
      </c>
      <c r="C228" s="709">
        <v>0</v>
      </c>
      <c r="D228" s="1274">
        <v>556.22</v>
      </c>
      <c r="E228" s="1274">
        <v>556.22</v>
      </c>
      <c r="F228" s="708" t="s">
        <v>2014</v>
      </c>
      <c r="G228" s="708" t="s">
        <v>1120</v>
      </c>
      <c r="H228" s="709" t="s">
        <v>3000</v>
      </c>
      <c r="I228" s="710"/>
      <c r="J228" s="710"/>
      <c r="K228" s="710"/>
      <c r="L228" s="149" t="str">
        <f t="shared" si="15"/>
        <v>670D</v>
      </c>
      <c r="M228" s="150" t="str">
        <f t="shared" si="16"/>
        <v>C/V - PIECES BT CLIENT BMW I</v>
      </c>
      <c r="N228" s="151">
        <f>+IF(OR($Q228=Parametres!$G$2,$Q228=Parametres!$G$3),I228,C228)</f>
        <v>0</v>
      </c>
      <c r="O228" s="151">
        <f>+IF(OR($Q228=Parametres!$G$2,$Q228=Parametres!$G$3),J228,D228)</f>
        <v>556.22</v>
      </c>
      <c r="P228" s="151">
        <f>+IF(OR($Q228=Parametres!$G$2,$Q228=Parametres!$G$3),K228,E228)</f>
        <v>556.22</v>
      </c>
      <c r="Q228" s="150" t="str">
        <f t="shared" si="17"/>
        <v>6-Coût des ventes</v>
      </c>
      <c r="R228" s="149" t="str">
        <f t="shared" si="18"/>
        <v>470A</v>
      </c>
      <c r="S228" s="150" t="str">
        <f t="shared" si="19"/>
        <v>_</v>
      </c>
      <c r="T228" s="152" t="str">
        <f>+VLOOKUP($L228,Data_Validation!$A:$D,1,0)</f>
        <v>670D</v>
      </c>
      <c r="U228" s="152" t="str">
        <f>+VLOOKUP($L228,Data_Validation!$A:$D,3,0)</f>
        <v>Pièces</v>
      </c>
      <c r="V228" s="152" t="str">
        <f>+VLOOKUP($L228,Data_Validation!$A:$D,4,0)</f>
        <v>Pièces Ro Clients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08" t="s">
        <v>1831</v>
      </c>
      <c r="B229" s="708" t="s">
        <v>1832</v>
      </c>
      <c r="C229" s="710">
        <v>0</v>
      </c>
      <c r="D229" s="710">
        <v>1167.8499999999999</v>
      </c>
      <c r="E229" s="710">
        <v>1167.8499999999999</v>
      </c>
      <c r="F229" s="708" t="s">
        <v>2014</v>
      </c>
      <c r="G229" s="708" t="s">
        <v>1096</v>
      </c>
      <c r="H229" s="664" t="s">
        <v>3000</v>
      </c>
      <c r="I229" s="664"/>
      <c r="J229" s="664"/>
      <c r="K229" s="664"/>
      <c r="L229" s="149" t="str">
        <f t="shared" si="15"/>
        <v>672A</v>
      </c>
      <c r="M229" s="150" t="str">
        <f t="shared" si="16"/>
        <v>C/V - PIECES GARANTIE BMW AUTO</v>
      </c>
      <c r="N229" s="151">
        <f>+IF(OR($Q229=Parametres!$G$2,$Q229=Parametres!$G$3),I229,C229)</f>
        <v>0</v>
      </c>
      <c r="O229" s="151">
        <f>+IF(OR($Q229=Parametres!$G$2,$Q229=Parametres!$G$3),J229,D229)</f>
        <v>1167.8499999999999</v>
      </c>
      <c r="P229" s="151">
        <f>+IF(OR($Q229=Parametres!$G$2,$Q229=Parametres!$G$3),K229,E229)</f>
        <v>1167.8499999999999</v>
      </c>
      <c r="Q229" s="150" t="str">
        <f t="shared" si="17"/>
        <v>6-Coût des ventes</v>
      </c>
      <c r="R229" s="149" t="str">
        <f t="shared" si="18"/>
        <v>472A</v>
      </c>
      <c r="S229" s="150" t="str">
        <f t="shared" si="19"/>
        <v>_</v>
      </c>
      <c r="T229" s="152" t="str">
        <f>+VLOOKUP($L229,Data_Validation!$A:$D,1,0)</f>
        <v>672A</v>
      </c>
      <c r="U229" s="152" t="str">
        <f>+VLOOKUP($L229,Data_Validation!$A:$D,3,0)</f>
        <v>pièces</v>
      </c>
      <c r="V229" s="152" t="str">
        <f>+VLOOKUP($L229,Data_Validation!$A:$D,4,0)</f>
        <v>P/A Garantie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08" t="s">
        <v>1826</v>
      </c>
      <c r="B230" s="708" t="s">
        <v>841</v>
      </c>
      <c r="C230" s="710">
        <v>0</v>
      </c>
      <c r="D230" s="710">
        <v>8415.2099999999991</v>
      </c>
      <c r="E230" s="710">
        <v>8415.2099999999991</v>
      </c>
      <c r="F230" s="708" t="s">
        <v>2014</v>
      </c>
      <c r="G230" s="708" t="s">
        <v>1096</v>
      </c>
      <c r="H230" s="664" t="s">
        <v>3000</v>
      </c>
      <c r="I230" s="663"/>
      <c r="J230" s="663"/>
      <c r="K230" s="663"/>
      <c r="L230" s="149" t="str">
        <f t="shared" si="15"/>
        <v>672B</v>
      </c>
      <c r="M230" s="150" t="str">
        <f t="shared" si="16"/>
        <v>C/V - PIECES GARANTIE BMW CAMION</v>
      </c>
      <c r="N230" s="151">
        <f>+IF(OR($Q230=Parametres!$G$2,$Q230=Parametres!$G$3),I230,C230)</f>
        <v>0</v>
      </c>
      <c r="O230" s="151">
        <f>+IF(OR($Q230=Parametres!$G$2,$Q230=Parametres!$G$3),J230,D230)</f>
        <v>8415.2099999999991</v>
      </c>
      <c r="P230" s="151">
        <f>+IF(OR($Q230=Parametres!$G$2,$Q230=Parametres!$G$3),K230,E230)</f>
        <v>8415.2099999999991</v>
      </c>
      <c r="Q230" s="150" t="str">
        <f t="shared" si="17"/>
        <v>6-Coût des ventes</v>
      </c>
      <c r="R230" s="149" t="str">
        <f t="shared" si="18"/>
        <v>472A</v>
      </c>
      <c r="S230" s="150" t="str">
        <f t="shared" si="19"/>
        <v>_</v>
      </c>
      <c r="T230" s="152" t="str">
        <f>+VLOOKUP($L230,Data_Validation!$A:$D,1,0)</f>
        <v>672B</v>
      </c>
      <c r="U230" s="152" t="str">
        <f>+VLOOKUP($L230,Data_Validation!$A:$D,3,0)</f>
        <v>pièces</v>
      </c>
      <c r="V230" s="152" t="str">
        <f>+VLOOKUP($L230,Data_Validation!$A:$D,4,0)</f>
        <v>P/A Garantie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08" t="s">
        <v>1710</v>
      </c>
      <c r="B231" s="708" t="s">
        <v>954</v>
      </c>
      <c r="C231" s="709">
        <v>0</v>
      </c>
      <c r="D231" s="1274">
        <v>233.94</v>
      </c>
      <c r="E231" s="1274">
        <v>233.94</v>
      </c>
      <c r="F231" s="708" t="s">
        <v>2014</v>
      </c>
      <c r="G231" s="708" t="s">
        <v>434</v>
      </c>
      <c r="H231" s="709" t="s">
        <v>3000</v>
      </c>
      <c r="I231" s="710"/>
      <c r="J231" s="710"/>
      <c r="K231" s="710"/>
      <c r="L231" s="149" t="str">
        <f t="shared" si="15"/>
        <v>672D</v>
      </c>
      <c r="M231" s="150" t="str">
        <f t="shared" si="16"/>
        <v>C/V - PIECES ENTRETIEN BMW AUTO</v>
      </c>
      <c r="N231" s="151">
        <f>+IF(OR($Q231=Parametres!$G$2,$Q231=Parametres!$G$3),I231,C231)</f>
        <v>0</v>
      </c>
      <c r="O231" s="151">
        <f>+IF(OR($Q231=Parametres!$G$2,$Q231=Parametres!$G$3),J231,D231)</f>
        <v>233.94</v>
      </c>
      <c r="P231" s="151">
        <f>+IF(OR($Q231=Parametres!$G$2,$Q231=Parametres!$G$3),K231,E231)</f>
        <v>233.94</v>
      </c>
      <c r="Q231" s="150" t="str">
        <f t="shared" si="17"/>
        <v>6-Coût des ventes</v>
      </c>
      <c r="R231" s="149" t="str">
        <f t="shared" si="18"/>
        <v>472D</v>
      </c>
      <c r="S231" s="150" t="str">
        <f t="shared" si="19"/>
        <v>_</v>
      </c>
      <c r="T231" s="152" t="str">
        <f>+VLOOKUP($L231,Data_Validation!$A:$D,1,0)</f>
        <v>672D</v>
      </c>
      <c r="U231" s="152" t="str">
        <f>+VLOOKUP($L231,Data_Validation!$A:$D,3,0)</f>
        <v>pièces</v>
      </c>
      <c r="V231" s="152" t="str">
        <f>+VLOOKUP($L231,Data_Validation!$A:$D,4,0)</f>
        <v>P/A Garantie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08" t="s">
        <v>1759</v>
      </c>
      <c r="B232" s="708" t="s">
        <v>845</v>
      </c>
      <c r="C232" s="710">
        <v>0</v>
      </c>
      <c r="D232" s="710">
        <v>3689.06</v>
      </c>
      <c r="E232" s="710">
        <v>3689.06</v>
      </c>
      <c r="F232" s="708" t="s">
        <v>2014</v>
      </c>
      <c r="G232" s="708" t="s">
        <v>434</v>
      </c>
      <c r="H232" s="664" t="s">
        <v>3000</v>
      </c>
      <c r="I232" s="663"/>
      <c r="J232" s="663"/>
      <c r="K232" s="663"/>
      <c r="L232" s="149" t="str">
        <f t="shared" si="15"/>
        <v>672E</v>
      </c>
      <c r="M232" s="150" t="str">
        <f t="shared" si="16"/>
        <v>C/V - PIECES ENTRETIEN BMW CAMION</v>
      </c>
      <c r="N232" s="151">
        <f>+IF(OR($Q232=Parametres!$G$2,$Q232=Parametres!$G$3),I232,C232)</f>
        <v>0</v>
      </c>
      <c r="O232" s="151">
        <f>+IF(OR($Q232=Parametres!$G$2,$Q232=Parametres!$G$3),J232,D232)</f>
        <v>3689.06</v>
      </c>
      <c r="P232" s="151">
        <f>+IF(OR($Q232=Parametres!$G$2,$Q232=Parametres!$G$3),K232,E232)</f>
        <v>3689.06</v>
      </c>
      <c r="Q232" s="150" t="str">
        <f t="shared" si="17"/>
        <v>6-Coût des ventes</v>
      </c>
      <c r="R232" s="149" t="str">
        <f t="shared" si="18"/>
        <v>472D</v>
      </c>
      <c r="S232" s="150" t="str">
        <f t="shared" si="19"/>
        <v>_</v>
      </c>
      <c r="T232" s="152" t="str">
        <f>+VLOOKUP($L232,Data_Validation!$A:$D,1,0)</f>
        <v>672E</v>
      </c>
      <c r="U232" s="152" t="str">
        <f>+VLOOKUP($L232,Data_Validation!$A:$D,3,0)</f>
        <v>pièces</v>
      </c>
      <c r="V232" s="152" t="str">
        <f>+VLOOKUP($L232,Data_Validation!$A:$D,4,0)</f>
        <v>P/A Garantie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08" t="s">
        <v>1614</v>
      </c>
      <c r="B233" s="708" t="s">
        <v>785</v>
      </c>
      <c r="C233" s="710">
        <v>0</v>
      </c>
      <c r="D233" s="710">
        <v>146.06</v>
      </c>
      <c r="E233" s="710">
        <v>146.06</v>
      </c>
      <c r="F233" s="708" t="s">
        <v>2014</v>
      </c>
      <c r="G233" s="708" t="s">
        <v>434</v>
      </c>
      <c r="H233" s="664" t="s">
        <v>3000</v>
      </c>
      <c r="I233" s="663"/>
      <c r="J233" s="663"/>
      <c r="K233" s="663"/>
      <c r="L233" s="149" t="str">
        <f t="shared" si="15"/>
        <v>672G</v>
      </c>
      <c r="M233" s="150" t="str">
        <f t="shared" si="16"/>
        <v>C/V - PIECES ENTRETIEN BMW I</v>
      </c>
      <c r="N233" s="151">
        <f>+IF(OR($Q233=Parametres!$G$2,$Q233=Parametres!$G$3),I233,C233)</f>
        <v>0</v>
      </c>
      <c r="O233" s="151">
        <f>+IF(OR($Q233=Parametres!$G$2,$Q233=Parametres!$G$3),J233,D233)</f>
        <v>146.06</v>
      </c>
      <c r="P233" s="151">
        <f>+IF(OR($Q233=Parametres!$G$2,$Q233=Parametres!$G$3),K233,E233)</f>
        <v>146.06</v>
      </c>
      <c r="Q233" s="150" t="str">
        <f t="shared" si="17"/>
        <v>6-Coût des ventes</v>
      </c>
      <c r="R233" s="149" t="str">
        <f t="shared" si="18"/>
        <v>472D</v>
      </c>
      <c r="S233" s="150" t="str">
        <f t="shared" si="19"/>
        <v>_</v>
      </c>
      <c r="T233" s="152" t="str">
        <f>+VLOOKUP($L233,Data_Validation!$A:$D,1,0)</f>
        <v>672G</v>
      </c>
      <c r="U233" s="152" t="str">
        <f>+VLOOKUP($L233,Data_Validation!$A:$D,3,0)</f>
        <v>pièces</v>
      </c>
      <c r="V233" s="152" t="str">
        <f>+VLOOKUP($L233,Data_Validation!$A:$D,4,0)</f>
        <v>P/A Garantie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08" t="s">
        <v>1034</v>
      </c>
      <c r="B234" s="708" t="s">
        <v>676</v>
      </c>
      <c r="C234" s="709">
        <v>0</v>
      </c>
      <c r="D234" s="1274">
        <v>5155.5</v>
      </c>
      <c r="E234" s="1274">
        <v>5155.5</v>
      </c>
      <c r="F234" s="708" t="s">
        <v>2014</v>
      </c>
      <c r="G234" s="708" t="s">
        <v>1096</v>
      </c>
      <c r="H234" s="709" t="s">
        <v>3000</v>
      </c>
      <c r="I234" s="710"/>
      <c r="J234" s="710"/>
      <c r="K234" s="710"/>
      <c r="L234" s="149" t="str">
        <f t="shared" si="15"/>
        <v>672H</v>
      </c>
      <c r="M234" s="150" t="str">
        <f t="shared" si="16"/>
        <v>C/V - PIECES GARANTIE BMW I</v>
      </c>
      <c r="N234" s="151">
        <f>+IF(OR($Q234=Parametres!$G$2,$Q234=Parametres!$G$3),I234,C234)</f>
        <v>0</v>
      </c>
      <c r="O234" s="151">
        <f>+IF(OR($Q234=Parametres!$G$2,$Q234=Parametres!$G$3),J234,D234)</f>
        <v>5155.5</v>
      </c>
      <c r="P234" s="151">
        <f>+IF(OR($Q234=Parametres!$G$2,$Q234=Parametres!$G$3),K234,E234)</f>
        <v>5155.5</v>
      </c>
      <c r="Q234" s="150" t="str">
        <f t="shared" si="17"/>
        <v>6-Coût des ventes</v>
      </c>
      <c r="R234" s="149" t="str">
        <f t="shared" si="18"/>
        <v>472A</v>
      </c>
      <c r="S234" s="150" t="str">
        <f t="shared" si="19"/>
        <v>_</v>
      </c>
      <c r="T234" s="152" t="str">
        <f>+VLOOKUP($L234,Data_Validation!$A:$D,1,0)</f>
        <v>672H</v>
      </c>
      <c r="U234" s="152" t="str">
        <f>+VLOOKUP($L234,Data_Validation!$A:$D,3,0)</f>
        <v>pièces</v>
      </c>
      <c r="V234" s="152" t="str">
        <f>+VLOOKUP($L234,Data_Validation!$A:$D,4,0)</f>
        <v>P/A Garantie</v>
      </c>
      <c r="W234" s="152" t="str">
        <f>+VLOOKUP($L234,Data_Validation!$A:$E,5,0)</f>
        <v>$</v>
      </c>
      <c r="X234" s="152">
        <f>+VLOOKUP($L234,Data_Validation!$A:$F,6,0)</f>
        <v>0</v>
      </c>
    </row>
    <row r="235" spans="1:24" ht="15" customHeight="1">
      <c r="A235" s="708" t="s">
        <v>1754</v>
      </c>
      <c r="B235" s="708" t="s">
        <v>1755</v>
      </c>
      <c r="C235" s="710">
        <v>0</v>
      </c>
      <c r="D235" s="710">
        <v>5888.02</v>
      </c>
      <c r="E235" s="710">
        <v>5888.02</v>
      </c>
      <c r="F235" s="708" t="s">
        <v>2014</v>
      </c>
      <c r="G235" s="708" t="s">
        <v>1132</v>
      </c>
      <c r="H235" s="664" t="s">
        <v>3000</v>
      </c>
      <c r="I235" s="663"/>
      <c r="J235" s="663"/>
      <c r="K235" s="663"/>
      <c r="L235" s="149" t="str">
        <f t="shared" si="15"/>
        <v>673A</v>
      </c>
      <c r="M235" s="150" t="str">
        <f t="shared" si="16"/>
        <v>C/V - PIECES INTERNE BMW AUTO</v>
      </c>
      <c r="N235" s="151">
        <f>+IF(OR($Q235=Parametres!$G$2,$Q235=Parametres!$G$3),I235,C235)</f>
        <v>0</v>
      </c>
      <c r="O235" s="151">
        <f>+IF(OR($Q235=Parametres!$G$2,$Q235=Parametres!$G$3),J235,D235)</f>
        <v>5888.02</v>
      </c>
      <c r="P235" s="151">
        <f>+IF(OR($Q235=Parametres!$G$2,$Q235=Parametres!$G$3),K235,E235)</f>
        <v>5888.02</v>
      </c>
      <c r="Q235" s="150" t="str">
        <f t="shared" si="17"/>
        <v>6-Coût des ventes</v>
      </c>
      <c r="R235" s="149" t="str">
        <f t="shared" si="18"/>
        <v>473A</v>
      </c>
      <c r="S235" s="150" t="str">
        <f t="shared" si="19"/>
        <v>_</v>
      </c>
      <c r="T235" s="152" t="str">
        <f>+VLOOKUP($L235,Data_Validation!$A:$D,1,0)</f>
        <v>673A</v>
      </c>
      <c r="U235" s="152" t="str">
        <f>+VLOOKUP($L235,Data_Validation!$A:$D,3,0)</f>
        <v>pièces</v>
      </c>
      <c r="V235" s="152" t="str">
        <f>+VLOOKUP($L235,Data_Validation!$A:$D,4,0)</f>
        <v>Ventes Internes</v>
      </c>
      <c r="W235" s="152" t="str">
        <f>+VLOOKUP($L235,Data_Validation!$A:$E,5,0)</f>
        <v>$</v>
      </c>
      <c r="X235" s="152">
        <f>+VLOOKUP($L235,Data_Validation!$A:$F,6,0)</f>
        <v>0</v>
      </c>
    </row>
    <row r="236" spans="1:24" ht="15" customHeight="1">
      <c r="A236" s="708" t="s">
        <v>1798</v>
      </c>
      <c r="B236" s="708" t="s">
        <v>909</v>
      </c>
      <c r="C236" s="710">
        <v>0</v>
      </c>
      <c r="D236" s="710">
        <v>4101.18</v>
      </c>
      <c r="E236" s="710">
        <v>4101.18</v>
      </c>
      <c r="F236" s="708" t="s">
        <v>2014</v>
      </c>
      <c r="G236" s="708" t="s">
        <v>1132</v>
      </c>
      <c r="H236" s="664" t="s">
        <v>3000</v>
      </c>
      <c r="I236" s="663"/>
      <c r="J236" s="663"/>
      <c r="K236" s="663"/>
      <c r="L236" s="149" t="str">
        <f t="shared" si="15"/>
        <v>673B</v>
      </c>
      <c r="M236" s="150" t="str">
        <f t="shared" si="16"/>
        <v>C/V - PIECES INTERNE BMW CAMION</v>
      </c>
      <c r="N236" s="151">
        <f>+IF(OR($Q236=Parametres!$G$2,$Q236=Parametres!$G$3),I236,C236)</f>
        <v>0</v>
      </c>
      <c r="O236" s="151">
        <f>+IF(OR($Q236=Parametres!$G$2,$Q236=Parametres!$G$3),J236,D236)</f>
        <v>4101.18</v>
      </c>
      <c r="P236" s="151">
        <f>+IF(OR($Q236=Parametres!$G$2,$Q236=Parametres!$G$3),K236,E236)</f>
        <v>4101.18</v>
      </c>
      <c r="Q236" s="150" t="str">
        <f t="shared" si="17"/>
        <v>6-Coût des ventes</v>
      </c>
      <c r="R236" s="149" t="str">
        <f t="shared" si="18"/>
        <v>473A</v>
      </c>
      <c r="S236" s="150" t="str">
        <f t="shared" si="19"/>
        <v>_</v>
      </c>
      <c r="T236" s="152" t="str">
        <f>+VLOOKUP($L236,Data_Validation!$A:$D,1,0)</f>
        <v>673B</v>
      </c>
      <c r="U236" s="152" t="str">
        <f>+VLOOKUP($L236,Data_Validation!$A:$D,3,0)</f>
        <v>pièces</v>
      </c>
      <c r="V236" s="152" t="str">
        <f>+VLOOKUP($L236,Data_Validation!$A:$D,4,0)</f>
        <v>Ventes Internes</v>
      </c>
      <c r="W236" s="152" t="str">
        <f>+VLOOKUP($L236,Data_Validation!$A:$E,5,0)</f>
        <v>$</v>
      </c>
      <c r="X236" s="152">
        <f>+VLOOKUP($L236,Data_Validation!$A:$F,6,0)</f>
        <v>0</v>
      </c>
    </row>
    <row r="237" spans="1:24" ht="15" customHeight="1">
      <c r="A237" s="708" t="s">
        <v>677</v>
      </c>
      <c r="B237" s="708" t="s">
        <v>678</v>
      </c>
      <c r="C237" s="710">
        <v>0</v>
      </c>
      <c r="D237" s="710">
        <v>330.89</v>
      </c>
      <c r="E237" s="710">
        <v>330.89</v>
      </c>
      <c r="F237" s="708" t="s">
        <v>2014</v>
      </c>
      <c r="G237" s="708" t="s">
        <v>1132</v>
      </c>
      <c r="H237" s="657" t="s">
        <v>3000</v>
      </c>
      <c r="I237" s="656"/>
      <c r="J237" s="656"/>
      <c r="K237" s="656"/>
      <c r="L237" s="149" t="str">
        <f t="shared" si="15"/>
        <v>673D</v>
      </c>
      <c r="M237" s="150" t="str">
        <f t="shared" si="16"/>
        <v>C/V - PIECES INTERNE BMW I</v>
      </c>
      <c r="N237" s="151">
        <f>+IF(OR($Q237=Parametres!$G$2,$Q237=Parametres!$G$3),I237,C237)</f>
        <v>0</v>
      </c>
      <c r="O237" s="151">
        <f>+IF(OR($Q237=Parametres!$G$2,$Q237=Parametres!$G$3),J237,D237)</f>
        <v>330.89</v>
      </c>
      <c r="P237" s="151">
        <f>+IF(OR($Q237=Parametres!$G$2,$Q237=Parametres!$G$3),K237,E237)</f>
        <v>330.89</v>
      </c>
      <c r="Q237" s="150" t="str">
        <f t="shared" si="17"/>
        <v>6-Coût des ventes</v>
      </c>
      <c r="R237" s="149" t="str">
        <f t="shared" si="18"/>
        <v>473A</v>
      </c>
      <c r="S237" s="150" t="str">
        <f t="shared" si="19"/>
        <v>_</v>
      </c>
      <c r="T237" s="152" t="str">
        <f>+VLOOKUP($L237,Data_Validation!$A:$D,1,0)</f>
        <v>673D</v>
      </c>
      <c r="U237" s="152" t="str">
        <f>+VLOOKUP($L237,Data_Validation!$A:$D,3,0)</f>
        <v>pièces</v>
      </c>
      <c r="V237" s="152" t="str">
        <f>+VLOOKUP($L237,Data_Validation!$A:$D,4,0)</f>
        <v>Ventes Internes</v>
      </c>
      <c r="W237" s="152" t="str">
        <f>+VLOOKUP($L237,Data_Validation!$A:$E,5,0)</f>
        <v>$</v>
      </c>
      <c r="X237" s="152">
        <f>+VLOOKUP($L237,Data_Validation!$A:$F,6,0)</f>
        <v>0</v>
      </c>
    </row>
    <row r="238" spans="1:24" ht="15.75" customHeight="1">
      <c r="A238" s="708" t="s">
        <v>1807</v>
      </c>
      <c r="B238" s="708" t="s">
        <v>1808</v>
      </c>
      <c r="C238" s="710">
        <v>0</v>
      </c>
      <c r="D238" s="710">
        <v>6584.48</v>
      </c>
      <c r="E238" s="710">
        <v>6584.48</v>
      </c>
      <c r="F238" s="708" t="s">
        <v>2014</v>
      </c>
      <c r="G238" s="708" t="s">
        <v>1118</v>
      </c>
      <c r="H238" s="664" t="s">
        <v>3000</v>
      </c>
      <c r="I238" s="663"/>
      <c r="J238" s="663"/>
      <c r="K238" s="663"/>
      <c r="L238" s="149" t="str">
        <f t="shared" si="15"/>
        <v>674A</v>
      </c>
      <c r="M238" s="150" t="str">
        <f t="shared" si="16"/>
        <v>C/V - PIECES COMPTOIR BMW AUTO</v>
      </c>
      <c r="N238" s="151">
        <f>+IF(OR($Q238=Parametres!$G$2,$Q238=Parametres!$G$3),I238,C238)</f>
        <v>0</v>
      </c>
      <c r="O238" s="151">
        <f>+IF(OR($Q238=Parametres!$G$2,$Q238=Parametres!$G$3),J238,D238)</f>
        <v>6584.48</v>
      </c>
      <c r="P238" s="151">
        <f>+IF(OR($Q238=Parametres!$G$2,$Q238=Parametres!$G$3),K238,E238)</f>
        <v>6584.48</v>
      </c>
      <c r="Q238" s="150" t="str">
        <f t="shared" si="17"/>
        <v>6-Coût des ventes</v>
      </c>
      <c r="R238" s="149" t="str">
        <f t="shared" si="18"/>
        <v>474A</v>
      </c>
      <c r="S238" s="150" t="str">
        <f t="shared" si="19"/>
        <v>_</v>
      </c>
      <c r="T238" s="152" t="str">
        <f>+VLOOKUP($L238,Data_Validation!$A:$D,1,0)</f>
        <v>674A</v>
      </c>
      <c r="U238" s="152" t="str">
        <f>+VLOOKUP($L238,Data_Validation!$A:$D,3,0)</f>
        <v>pièces</v>
      </c>
      <c r="V238" s="152" t="str">
        <f>+VLOOKUP($L238,Data_Validation!$A:$D,4,0)</f>
        <v>Ventes Détails</v>
      </c>
      <c r="W238" s="152" t="str">
        <f>+VLOOKUP($L238,Data_Validation!$A:$E,5,0)</f>
        <v>$</v>
      </c>
      <c r="X238" s="152">
        <f>+VLOOKUP($L238,Data_Validation!$A:$F,6,0)</f>
        <v>0</v>
      </c>
    </row>
    <row r="239" spans="1:24" ht="15" customHeight="1">
      <c r="A239" s="708" t="s">
        <v>1699</v>
      </c>
      <c r="B239" s="708" t="s">
        <v>874</v>
      </c>
      <c r="C239" s="710">
        <v>0</v>
      </c>
      <c r="D239" s="710">
        <v>527.75</v>
      </c>
      <c r="E239" s="710">
        <v>527.75</v>
      </c>
      <c r="F239" s="708" t="s">
        <v>2014</v>
      </c>
      <c r="G239" s="708" t="s">
        <v>1118</v>
      </c>
      <c r="H239" s="664" t="s">
        <v>3000</v>
      </c>
      <c r="I239" s="663"/>
      <c r="J239" s="663"/>
      <c r="K239" s="663"/>
      <c r="L239" s="149" t="str">
        <f t="shared" si="15"/>
        <v>674D</v>
      </c>
      <c r="M239" s="150" t="str">
        <f t="shared" si="16"/>
        <v>C/V - PIECES COMP. BMW LIFESTYLE</v>
      </c>
      <c r="N239" s="151">
        <f>+IF(OR($Q239=Parametres!$G$2,$Q239=Parametres!$G$3),I239,C239)</f>
        <v>0</v>
      </c>
      <c r="O239" s="151">
        <f>+IF(OR($Q239=Parametres!$G$2,$Q239=Parametres!$G$3),J239,D239)</f>
        <v>527.75</v>
      </c>
      <c r="P239" s="151">
        <f>+IF(OR($Q239=Parametres!$G$2,$Q239=Parametres!$G$3),K239,E239)</f>
        <v>527.75</v>
      </c>
      <c r="Q239" s="150" t="str">
        <f t="shared" si="17"/>
        <v>6-Coût des ventes</v>
      </c>
      <c r="R239" s="149" t="str">
        <f t="shared" si="18"/>
        <v>474A</v>
      </c>
      <c r="S239" s="150" t="str">
        <f t="shared" si="19"/>
        <v>_</v>
      </c>
      <c r="T239" s="152" t="str">
        <f>+VLOOKUP($L239,Data_Validation!$A:$D,1,0)</f>
        <v>674D</v>
      </c>
      <c r="U239" s="152" t="str">
        <f>+VLOOKUP($L239,Data_Validation!$A:$D,3,0)</f>
        <v>pièces</v>
      </c>
      <c r="V239" s="152" t="str">
        <f>+VLOOKUP($L239,Data_Validation!$A:$D,4,0)</f>
        <v>Ventes Détails</v>
      </c>
      <c r="W239" s="152" t="str">
        <f>+VLOOKUP($L239,Data_Validation!$A:$E,5,0)</f>
        <v>$</v>
      </c>
      <c r="X239" s="152">
        <f>+VLOOKUP($L239,Data_Validation!$A:$F,6,0)</f>
        <v>0</v>
      </c>
    </row>
    <row r="240" spans="1:24" ht="15" customHeight="1">
      <c r="A240" s="708" t="s">
        <v>1800</v>
      </c>
      <c r="B240" s="708" t="s">
        <v>969</v>
      </c>
      <c r="C240" s="709">
        <v>0</v>
      </c>
      <c r="D240" s="1274">
        <v>2466.1999999999998</v>
      </c>
      <c r="E240" s="1274">
        <v>2466.1999999999998</v>
      </c>
      <c r="F240" s="708" t="s">
        <v>2014</v>
      </c>
      <c r="G240" s="708" t="s">
        <v>1118</v>
      </c>
      <c r="H240" s="709" t="s">
        <v>3000</v>
      </c>
      <c r="I240" s="710"/>
      <c r="J240" s="710"/>
      <c r="K240" s="710"/>
      <c r="L240" s="149" t="str">
        <f t="shared" si="15"/>
        <v>674E</v>
      </c>
      <c r="M240" s="150" t="str">
        <f t="shared" si="16"/>
        <v>C/V - PIECES COMP. BMW ACCESSOIRE</v>
      </c>
      <c r="N240" s="151">
        <f>+IF(OR($Q240=Parametres!$G$2,$Q240=Parametres!$G$3),I240,C240)</f>
        <v>0</v>
      </c>
      <c r="O240" s="151">
        <f>+IF(OR($Q240=Parametres!$G$2,$Q240=Parametres!$G$3),J240,D240)</f>
        <v>2466.1999999999998</v>
      </c>
      <c r="P240" s="151">
        <f>+IF(OR($Q240=Parametres!$G$2,$Q240=Parametres!$G$3),K240,E240)</f>
        <v>2466.1999999999998</v>
      </c>
      <c r="Q240" s="150" t="str">
        <f t="shared" si="17"/>
        <v>6-Coût des ventes</v>
      </c>
      <c r="R240" s="149" t="str">
        <f t="shared" si="18"/>
        <v>474A</v>
      </c>
      <c r="S240" s="150" t="str">
        <f t="shared" si="19"/>
        <v>_</v>
      </c>
      <c r="T240" s="152" t="str">
        <f>+VLOOKUP($L240,Data_Validation!$A:$D,1,0)</f>
        <v>674E</v>
      </c>
      <c r="U240" s="152" t="str">
        <f>+VLOOKUP($L240,Data_Validation!$A:$D,3,0)</f>
        <v>pièces</v>
      </c>
      <c r="V240" s="152" t="str">
        <f>+VLOOKUP($L240,Data_Validation!$A:$D,4,0)</f>
        <v>Ventes Détails</v>
      </c>
      <c r="W240" s="152" t="str">
        <f>+VLOOKUP($L240,Data_Validation!$A:$E,5,0)</f>
        <v>$</v>
      </c>
      <c r="X240" s="152">
        <f>+VLOOKUP($L240,Data_Validation!$A:$F,6,0)</f>
        <v>0</v>
      </c>
    </row>
    <row r="241" spans="1:24" ht="15" customHeight="1">
      <c r="A241" s="708" t="s">
        <v>1680</v>
      </c>
      <c r="B241" s="708" t="s">
        <v>1681</v>
      </c>
      <c r="C241" s="709">
        <v>0</v>
      </c>
      <c r="D241" s="1274">
        <v>37386.17</v>
      </c>
      <c r="E241" s="1274">
        <v>37386.17</v>
      </c>
      <c r="F241" s="708" t="s">
        <v>2014</v>
      </c>
      <c r="G241" s="708" t="s">
        <v>1167</v>
      </c>
      <c r="H241" s="709" t="s">
        <v>3000</v>
      </c>
      <c r="I241" s="710"/>
      <c r="J241" s="710"/>
      <c r="K241" s="710"/>
      <c r="L241" s="149" t="str">
        <f t="shared" si="15"/>
        <v>675A</v>
      </c>
      <c r="M241" s="150" t="str">
        <f t="shared" si="16"/>
        <v>C/V - PIECES GROS BMW AUTO</v>
      </c>
      <c r="N241" s="151">
        <f>+IF(OR($Q241=Parametres!$G$2,$Q241=Parametres!$G$3),I241,C241)</f>
        <v>0</v>
      </c>
      <c r="O241" s="151">
        <f>+IF(OR($Q241=Parametres!$G$2,$Q241=Parametres!$G$3),J241,D241)</f>
        <v>37386.17</v>
      </c>
      <c r="P241" s="151">
        <f>+IF(OR($Q241=Parametres!$G$2,$Q241=Parametres!$G$3),K241,E241)</f>
        <v>37386.17</v>
      </c>
      <c r="Q241" s="150" t="str">
        <f t="shared" si="17"/>
        <v>6-Coût des ventes</v>
      </c>
      <c r="R241" s="149" t="str">
        <f t="shared" si="18"/>
        <v>475A</v>
      </c>
      <c r="S241" s="150" t="str">
        <f t="shared" si="19"/>
        <v>_</v>
      </c>
      <c r="T241" s="152" t="str">
        <f>+VLOOKUP($L241,Data_Validation!$A:$D,1,0)</f>
        <v>675A</v>
      </c>
      <c r="U241" s="152" t="str">
        <f>+VLOOKUP($L241,Data_Validation!$A:$D,3,0)</f>
        <v>pièces</v>
      </c>
      <c r="V241" s="152" t="str">
        <f>+VLOOKUP($L241,Data_Validation!$A:$D,4,0)</f>
        <v>Ventes de Gros</v>
      </c>
      <c r="W241" s="152" t="str">
        <f>+VLOOKUP($L241,Data_Validation!$A:$E,5,0)</f>
        <v>$</v>
      </c>
      <c r="X241" s="152">
        <f>+VLOOKUP($L241,Data_Validation!$A:$F,6,0)</f>
        <v>0</v>
      </c>
    </row>
    <row r="242" spans="1:24" ht="15" customHeight="1">
      <c r="A242" s="662" t="s">
        <v>2850</v>
      </c>
      <c r="B242" s="662" t="s">
        <v>2842</v>
      </c>
      <c r="C242" s="663">
        <v>0</v>
      </c>
      <c r="D242" s="663">
        <v>909</v>
      </c>
      <c r="E242" s="663">
        <v>909</v>
      </c>
      <c r="F242" s="662" t="s">
        <v>2014</v>
      </c>
      <c r="G242" s="662" t="s">
        <v>3017</v>
      </c>
      <c r="H242" s="657" t="s">
        <v>3000</v>
      </c>
      <c r="I242" s="656"/>
      <c r="J242" s="656"/>
      <c r="K242" s="656"/>
      <c r="L242" s="149" t="str">
        <f t="shared" si="15"/>
        <v>675L</v>
      </c>
      <c r="M242" s="150" t="str">
        <f t="shared" si="16"/>
        <v>C/V - RISTOURNES VENTES WHOLESALES</v>
      </c>
      <c r="N242" s="151">
        <f>+IF(OR($Q242=Parametres!$G$2,$Q242=Parametres!$G$3),I242,C242)</f>
        <v>0</v>
      </c>
      <c r="O242" s="151">
        <f>+IF(OR($Q242=Parametres!$G$2,$Q242=Parametres!$G$3),J242,D242)</f>
        <v>909</v>
      </c>
      <c r="P242" s="151">
        <f>+IF(OR($Q242=Parametres!$G$2,$Q242=Parametres!$G$3),K242,E242)</f>
        <v>909</v>
      </c>
      <c r="Q242" s="150" t="str">
        <f t="shared" si="17"/>
        <v>6-Coût des ventes</v>
      </c>
      <c r="R242" s="149" t="str">
        <f t="shared" si="18"/>
        <v>675</v>
      </c>
      <c r="S242" s="150" t="str">
        <f t="shared" si="19"/>
        <v>_</v>
      </c>
      <c r="T242" s="152" t="str">
        <f>+VLOOKUP($L242,Data_Validation!$A:$D,1,0)</f>
        <v>675L</v>
      </c>
      <c r="U242" s="152" t="str">
        <f>+VLOOKUP($L242,Data_Validation!$A:$D,3,0)</f>
        <v>Pièces</v>
      </c>
      <c r="V242" s="152" t="str">
        <f>+VLOOKUP($L242,Data_Validation!$A:$D,4,0)</f>
        <v>Ventes de Gros</v>
      </c>
      <c r="W242" s="152" t="str">
        <f>+VLOOKUP($L242,Data_Validation!$A:$E,5,0)</f>
        <v>$</v>
      </c>
      <c r="X242" s="152">
        <f>+VLOOKUP($L242,Data_Validation!$A:$F,6,0)</f>
        <v>0</v>
      </c>
    </row>
    <row r="243" spans="1:24" ht="15.75" customHeight="1">
      <c r="A243" s="662" t="s">
        <v>1204</v>
      </c>
      <c r="B243" s="662" t="s">
        <v>1205</v>
      </c>
      <c r="C243" s="663">
        <v>0</v>
      </c>
      <c r="D243" s="663">
        <v>-44.22</v>
      </c>
      <c r="E243" s="663">
        <v>-44.22</v>
      </c>
      <c r="F243" s="662" t="s">
        <v>2014</v>
      </c>
      <c r="G243" s="662" t="s">
        <v>2252</v>
      </c>
      <c r="H243" s="657" t="s">
        <v>3000</v>
      </c>
      <c r="I243" s="656"/>
      <c r="J243" s="656"/>
      <c r="K243" s="656"/>
      <c r="L243" s="149" t="str">
        <f t="shared" si="15"/>
        <v>677A</v>
      </c>
      <c r="M243" s="150" t="str">
        <f t="shared" si="16"/>
        <v>C/V - RABAIS ACHAT VOLUME BMW AUTO</v>
      </c>
      <c r="N243" s="151">
        <f>+IF(OR($Q243=Parametres!$G$2,$Q243=Parametres!$G$3),I243,C243)</f>
        <v>0</v>
      </c>
      <c r="O243" s="151">
        <f>+IF(OR($Q243=Parametres!$G$2,$Q243=Parametres!$G$3),J243,D243)</f>
        <v>-44.22</v>
      </c>
      <c r="P243" s="151">
        <f>+IF(OR($Q243=Parametres!$G$2,$Q243=Parametres!$G$3),K243,E243)</f>
        <v>-44.22</v>
      </c>
      <c r="Q243" s="150" t="str">
        <f t="shared" si="17"/>
        <v>6-Coût des ventes</v>
      </c>
      <c r="R243" s="149" t="str">
        <f t="shared" si="18"/>
        <v>477</v>
      </c>
      <c r="S243" s="150" t="str">
        <f t="shared" si="19"/>
        <v>_</v>
      </c>
      <c r="T243" s="152" t="str">
        <f>+VLOOKUP($L243,Data_Validation!$A:$D,1,0)</f>
        <v>677A</v>
      </c>
      <c r="U243" s="152" t="str">
        <f>+VLOOKUP($L243,Data_Validation!$A:$D,3,0)</f>
        <v>pièces</v>
      </c>
      <c r="V243" s="152" t="str">
        <f>+VLOOKUP($L243,Data_Validation!$A:$D,4,0)</f>
        <v>Escomptes</v>
      </c>
      <c r="W243" s="152" t="str">
        <f>+VLOOKUP($L243,Data_Validation!$A:$E,5,0)</f>
        <v>$</v>
      </c>
      <c r="X243" s="152">
        <f>+VLOOKUP($L243,Data_Validation!$A:$F,6,0)</f>
        <v>0</v>
      </c>
    </row>
    <row r="244" spans="1:24" ht="15" customHeight="1">
      <c r="A244" s="662" t="s">
        <v>970</v>
      </c>
      <c r="B244" s="662" t="s">
        <v>972</v>
      </c>
      <c r="C244" s="663">
        <v>0</v>
      </c>
      <c r="D244" s="663">
        <v>39293.440000000002</v>
      </c>
      <c r="E244" s="663">
        <v>39293.440000000002</v>
      </c>
      <c r="F244" s="662" t="s">
        <v>2014</v>
      </c>
      <c r="G244" s="662" t="s">
        <v>417</v>
      </c>
      <c r="H244" s="657" t="s">
        <v>3000</v>
      </c>
      <c r="I244" s="656"/>
      <c r="J244" s="656"/>
      <c r="K244" s="656"/>
      <c r="L244" s="149" t="str">
        <f t="shared" si="15"/>
        <v>688A</v>
      </c>
      <c r="M244" s="150" t="str">
        <f t="shared" si="16"/>
        <v>C/V - PNEUS</v>
      </c>
      <c r="N244" s="151">
        <f>+IF(OR($Q244=Parametres!$G$2,$Q244=Parametres!$G$3),I244,C244)</f>
        <v>0</v>
      </c>
      <c r="O244" s="151">
        <f>+IF(OR($Q244=Parametres!$G$2,$Q244=Parametres!$G$3),J244,D244)</f>
        <v>39293.440000000002</v>
      </c>
      <c r="P244" s="151">
        <f>+IF(OR($Q244=Parametres!$G$2,$Q244=Parametres!$G$3),K244,E244)</f>
        <v>39293.440000000002</v>
      </c>
      <c r="Q244" s="150" t="str">
        <f t="shared" si="17"/>
        <v>6-Coût des ventes</v>
      </c>
      <c r="R244" s="149" t="str">
        <f t="shared" si="18"/>
        <v>488A</v>
      </c>
      <c r="S244" s="150" t="str">
        <f t="shared" si="19"/>
        <v>_</v>
      </c>
      <c r="T244" s="152" t="str">
        <f>+VLOOKUP($L244,Data_Validation!$A:$D,1,0)</f>
        <v>688A</v>
      </c>
      <c r="U244" s="152" t="str">
        <f>+VLOOKUP($L244,Data_Validation!$A:$D,3,0)</f>
        <v>pièces</v>
      </c>
      <c r="V244" s="152" t="str">
        <f>+VLOOKUP($L244,Data_Validation!$A:$D,4,0)</f>
        <v>Ventes Pneus</v>
      </c>
      <c r="W244" s="152" t="str">
        <f>+VLOOKUP($L244,Data_Validation!$A:$E,5,0)</f>
        <v>$</v>
      </c>
      <c r="X244" s="152">
        <f>+VLOOKUP($L244,Data_Validation!$A:$F,6,0)</f>
        <v>0</v>
      </c>
    </row>
    <row r="245" spans="1:24" ht="15" customHeight="1">
      <c r="A245" s="662" t="s">
        <v>1763</v>
      </c>
      <c r="B245" s="662" t="s">
        <v>927</v>
      </c>
      <c r="C245" s="663">
        <v>0</v>
      </c>
      <c r="D245" s="663">
        <v>1800.45</v>
      </c>
      <c r="E245" s="663">
        <v>1800.45</v>
      </c>
      <c r="F245" s="662" t="s">
        <v>2014</v>
      </c>
      <c r="G245" s="662" t="s">
        <v>445</v>
      </c>
      <c r="H245" s="657" t="s">
        <v>3000</v>
      </c>
      <c r="I245" s="656"/>
      <c r="J245" s="656"/>
      <c r="K245" s="656"/>
      <c r="L245" s="149" t="str">
        <f t="shared" si="15"/>
        <v>689A</v>
      </c>
      <c r="M245" s="150" t="str">
        <f t="shared" si="16"/>
        <v>C/V - HUILES &amp; GRAISSES</v>
      </c>
      <c r="N245" s="151">
        <f>+IF(OR($Q245=Parametres!$G$2,$Q245=Parametres!$G$3),I245,C245)</f>
        <v>0</v>
      </c>
      <c r="O245" s="151">
        <f>+IF(OR($Q245=Parametres!$G$2,$Q245=Parametres!$G$3),J245,D245)</f>
        <v>1800.45</v>
      </c>
      <c r="P245" s="151">
        <f>+IF(OR($Q245=Parametres!$G$2,$Q245=Parametres!$G$3),K245,E245)</f>
        <v>1800.45</v>
      </c>
      <c r="Q245" s="150" t="str">
        <f t="shared" si="17"/>
        <v>6-Coût des ventes</v>
      </c>
      <c r="R245" s="149" t="str">
        <f t="shared" si="18"/>
        <v>489A</v>
      </c>
      <c r="S245" s="150" t="str">
        <f t="shared" si="19"/>
        <v>_</v>
      </c>
      <c r="T245" s="152" t="str">
        <f>+VLOOKUP($L245,Data_Validation!$A:$D,1,0)</f>
        <v>689A</v>
      </c>
      <c r="U245" s="152" t="str">
        <f>+VLOOKUP($L245,Data_Validation!$A:$D,3,0)</f>
        <v>pièces</v>
      </c>
      <c r="V245" s="152" t="str">
        <f>+VLOOKUP($L245,Data_Validation!$A:$D,4,0)</f>
        <v>Huiles et Graisse</v>
      </c>
      <c r="W245" s="152" t="str">
        <f>+VLOOKUP($L245,Data_Validation!$A:$E,5,0)</f>
        <v>$</v>
      </c>
      <c r="X245" s="152">
        <f>+VLOOKUP($L245,Data_Validation!$A:$F,6,0)</f>
        <v>0</v>
      </c>
    </row>
    <row r="246" spans="1:24" ht="15" customHeight="1">
      <c r="A246" s="662" t="s">
        <v>1751</v>
      </c>
      <c r="B246" s="662" t="s">
        <v>1752</v>
      </c>
      <c r="C246" s="663">
        <v>0</v>
      </c>
      <c r="D246" s="663">
        <v>3433.01</v>
      </c>
      <c r="E246" s="663">
        <v>3433.01</v>
      </c>
      <c r="F246" s="662" t="s">
        <v>2014</v>
      </c>
      <c r="G246" s="662" t="s">
        <v>445</v>
      </c>
      <c r="H246" s="657" t="s">
        <v>3000</v>
      </c>
      <c r="I246" s="656"/>
      <c r="J246" s="656"/>
      <c r="K246" s="656"/>
      <c r="L246" s="149" t="str">
        <f t="shared" si="15"/>
        <v>689B</v>
      </c>
      <c r="M246" s="150" t="str">
        <f t="shared" si="16"/>
        <v>C/V - HUILE &amp; GRAISSE</v>
      </c>
      <c r="N246" s="151">
        <f>+IF(OR($Q246=Parametres!$G$2,$Q246=Parametres!$G$3),I246,C246)</f>
        <v>0</v>
      </c>
      <c r="O246" s="151">
        <f>+IF(OR($Q246=Parametres!$G$2,$Q246=Parametres!$G$3),J246,D246)</f>
        <v>3433.01</v>
      </c>
      <c r="P246" s="151">
        <f>+IF(OR($Q246=Parametres!$G$2,$Q246=Parametres!$G$3),K246,E246)</f>
        <v>3433.01</v>
      </c>
      <c r="Q246" s="150" t="str">
        <f t="shared" si="17"/>
        <v>6-Coût des ventes</v>
      </c>
      <c r="R246" s="149" t="str">
        <f t="shared" si="18"/>
        <v>489A</v>
      </c>
      <c r="S246" s="150" t="str">
        <f t="shared" si="19"/>
        <v>_</v>
      </c>
      <c r="T246" s="152" t="str">
        <f>+VLOOKUP($L246,Data_Validation!$A:$D,1,0)</f>
        <v>689B</v>
      </c>
      <c r="U246" s="152" t="str">
        <f>+VLOOKUP($L246,Data_Validation!$A:$D,3,0)</f>
        <v>pièces</v>
      </c>
      <c r="V246" s="152" t="str">
        <f>+VLOOKUP($L246,Data_Validation!$A:$D,4,0)</f>
        <v>Huiles et Graisse</v>
      </c>
      <c r="W246" s="152" t="str">
        <f>+VLOOKUP($L246,Data_Validation!$A:$E,5,0)</f>
        <v>$</v>
      </c>
      <c r="X246" s="152">
        <f>+VLOOKUP($L246,Data_Validation!$A:$F,6,0)</f>
        <v>0</v>
      </c>
    </row>
    <row r="247" spans="1:24" ht="15.75" customHeight="1">
      <c r="A247" s="662" t="s">
        <v>1820</v>
      </c>
      <c r="B247" s="662" t="s">
        <v>963</v>
      </c>
      <c r="C247" s="663">
        <v>0</v>
      </c>
      <c r="D247" s="663">
        <v>9127.2900000000009</v>
      </c>
      <c r="E247" s="663">
        <v>9127.2900000000009</v>
      </c>
      <c r="F247" s="662" t="s">
        <v>2228</v>
      </c>
      <c r="G247" s="662" t="s">
        <v>2297</v>
      </c>
      <c r="H247" s="657" t="s">
        <v>3000</v>
      </c>
      <c r="I247" s="656"/>
      <c r="J247" s="656"/>
      <c r="K247" s="656"/>
      <c r="L247" s="149" t="str">
        <f t="shared" si="15"/>
        <v>11A</v>
      </c>
      <c r="M247" s="150" t="str">
        <f t="shared" si="16"/>
        <v>COMM. VENDEURS - NEUF BMW</v>
      </c>
      <c r="N247" s="151">
        <f>+IF(OR($Q247=Parametres!$G$2,$Q247=Parametres!$G$3),I247,C247)</f>
        <v>0</v>
      </c>
      <c r="O247" s="151">
        <f>+IF(OR($Q247=Parametres!$G$2,$Q247=Parametres!$G$3),J247,D247)</f>
        <v>9127.2900000000009</v>
      </c>
      <c r="P247" s="151">
        <f>+IF(OR($Q247=Parametres!$G$2,$Q247=Parametres!$G$3),K247,E247)</f>
        <v>9127.2900000000009</v>
      </c>
      <c r="Q247" s="150" t="str">
        <f t="shared" si="17"/>
        <v>7-Dépenses</v>
      </c>
      <c r="R247" s="149" t="str">
        <f t="shared" si="18"/>
        <v>11</v>
      </c>
      <c r="S247" s="150" t="str">
        <f t="shared" si="19"/>
        <v>_</v>
      </c>
      <c r="T247" s="152" t="str">
        <f>+VLOOKUP($L247,Data_Validation!$A:$D,1,0)</f>
        <v>11A</v>
      </c>
      <c r="U247" s="152" t="str">
        <f>+VLOOKUP($L247,Data_Validation!$A:$D,3,0)</f>
        <v>Véhicules neufs</v>
      </c>
      <c r="V247" s="152" t="str">
        <f>+VLOOKUP($L247,Data_Validation!$A:$D,4,0)</f>
        <v>Comm. vendeurs</v>
      </c>
      <c r="W247" s="152" t="str">
        <f>+VLOOKUP($L247,Data_Validation!$A:$E,5,0)</f>
        <v>$</v>
      </c>
      <c r="X247" s="152">
        <f>+VLOOKUP($L247,Data_Validation!$A:$F,6,0)</f>
        <v>0</v>
      </c>
    </row>
    <row r="248" spans="1:24" ht="15" customHeight="1">
      <c r="A248" s="708" t="s">
        <v>1787</v>
      </c>
      <c r="B248" s="708" t="s">
        <v>939</v>
      </c>
      <c r="C248" s="710">
        <v>0</v>
      </c>
      <c r="D248" s="710">
        <v>3981.1</v>
      </c>
      <c r="E248" s="710">
        <v>3981.1</v>
      </c>
      <c r="F248" s="708" t="s">
        <v>2228</v>
      </c>
      <c r="G248" s="708" t="s">
        <v>2297</v>
      </c>
      <c r="H248" s="664" t="s">
        <v>3000</v>
      </c>
      <c r="I248" s="663"/>
      <c r="J248" s="663"/>
      <c r="K248" s="663"/>
      <c r="L248" s="149" t="str">
        <f t="shared" si="15"/>
        <v>11C</v>
      </c>
      <c r="M248" s="150" t="str">
        <f t="shared" si="16"/>
        <v>COMM. VENDEURS - USAGE BMW</v>
      </c>
      <c r="N248" s="151">
        <f>+IF(OR($Q248=Parametres!$G$2,$Q248=Parametres!$G$3),I248,C248)</f>
        <v>0</v>
      </c>
      <c r="O248" s="497">
        <f>+IF(OR($Q248=Parametres!$G$2,$Q248=Parametres!$G$3),J248,D248)</f>
        <v>3981.1</v>
      </c>
      <c r="P248" s="151">
        <f>+IF(OR($Q248=Parametres!$G$2,$Q248=Parametres!$G$3),K248,E248)</f>
        <v>3981.1</v>
      </c>
      <c r="Q248" s="150" t="str">
        <f t="shared" si="17"/>
        <v>7-Dépenses</v>
      </c>
      <c r="R248" s="149" t="str">
        <f t="shared" si="18"/>
        <v>11</v>
      </c>
      <c r="S248" s="150" t="str">
        <f t="shared" si="19"/>
        <v>_</v>
      </c>
      <c r="T248" s="152" t="str">
        <f>+VLOOKUP($L248,Data_Validation!$A:$D,1,0)</f>
        <v>11C</v>
      </c>
      <c r="U248" s="152" t="str">
        <f>+VLOOKUP($L248,Data_Validation!$A:$D,3,0)</f>
        <v>Véhicules usagés</v>
      </c>
      <c r="V248" s="152" t="str">
        <f>+VLOOKUP($L248,Data_Validation!$A:$D,4,0)</f>
        <v>Comm. vendeurs</v>
      </c>
      <c r="W248" s="152" t="str">
        <f>+VLOOKUP($L248,Data_Validation!$A:$E,5,0)</f>
        <v>$</v>
      </c>
      <c r="X248" s="152">
        <f>+VLOOKUP($L248,Data_Validation!$A:$F,6,0)</f>
        <v>0</v>
      </c>
    </row>
    <row r="249" spans="1:24" ht="15" customHeight="1">
      <c r="A249" s="708" t="s">
        <v>1778</v>
      </c>
      <c r="B249" s="708" t="s">
        <v>932</v>
      </c>
      <c r="C249" s="710">
        <v>0</v>
      </c>
      <c r="D249" s="710">
        <v>4659.22</v>
      </c>
      <c r="E249" s="710">
        <v>4659.22</v>
      </c>
      <c r="F249" s="708" t="s">
        <v>2228</v>
      </c>
      <c r="G249" s="708" t="s">
        <v>2296</v>
      </c>
      <c r="H249" s="664" t="s">
        <v>3000</v>
      </c>
      <c r="I249" s="663"/>
      <c r="J249" s="663"/>
      <c r="K249" s="663"/>
      <c r="L249" s="149" t="str">
        <f t="shared" si="15"/>
        <v>12A</v>
      </c>
      <c r="M249" s="150" t="str">
        <f t="shared" si="16"/>
        <v>COMM. F&amp;I - NEUF BMW</v>
      </c>
      <c r="N249" s="151">
        <f>+IF(OR($Q249=Parametres!$G$2,$Q249=Parametres!$G$3),I249,C249)</f>
        <v>0</v>
      </c>
      <c r="O249" s="151">
        <f>+IF(OR($Q249=Parametres!$G$2,$Q249=Parametres!$G$3),J249,D249)</f>
        <v>4659.22</v>
      </c>
      <c r="P249" s="151">
        <f>+IF(OR($Q249=Parametres!$G$2,$Q249=Parametres!$G$3),K249,E249)</f>
        <v>4659.22</v>
      </c>
      <c r="Q249" s="150" t="str">
        <f t="shared" si="17"/>
        <v>7-Dépenses</v>
      </c>
      <c r="R249" s="149" t="str">
        <f t="shared" si="18"/>
        <v>12</v>
      </c>
      <c r="S249" s="150" t="str">
        <f t="shared" si="19"/>
        <v>_</v>
      </c>
      <c r="T249" s="152" t="str">
        <f>+VLOOKUP($L249,Data_Validation!$A:$D,1,0)</f>
        <v>12A</v>
      </c>
      <c r="U249" s="152" t="str">
        <f>+VLOOKUP($L249,Data_Validation!$A:$D,3,0)</f>
        <v>Véhicules neufs</v>
      </c>
      <c r="V249" s="152" t="str">
        <f>+VLOOKUP($L249,Data_Validation!$A:$D,4,0)</f>
        <v>Comm. F&amp;I</v>
      </c>
      <c r="W249" s="152" t="str">
        <f>+VLOOKUP($L249,Data_Validation!$A:$E,5,0)</f>
        <v>$</v>
      </c>
      <c r="X249" s="152">
        <f>+VLOOKUP($L249,Data_Validation!$A:$F,6,0)</f>
        <v>0</v>
      </c>
    </row>
    <row r="250" spans="1:24" ht="15" customHeight="1">
      <c r="A250" s="662" t="s">
        <v>1753</v>
      </c>
      <c r="B250" s="662" t="s">
        <v>943</v>
      </c>
      <c r="C250" s="663">
        <v>0</v>
      </c>
      <c r="D250" s="663">
        <v>5324.57</v>
      </c>
      <c r="E250" s="663">
        <v>5324.57</v>
      </c>
      <c r="F250" s="662" t="s">
        <v>2228</v>
      </c>
      <c r="G250" s="662" t="s">
        <v>2296</v>
      </c>
      <c r="H250" s="657" t="s">
        <v>3000</v>
      </c>
      <c r="I250" s="656"/>
      <c r="J250" s="656"/>
      <c r="K250" s="656"/>
      <c r="L250" s="149" t="str">
        <f t="shared" si="15"/>
        <v>12C</v>
      </c>
      <c r="M250" s="150" t="str">
        <f t="shared" si="16"/>
        <v>COMM. F&amp;I - USAGE BMW</v>
      </c>
      <c r="N250" s="151">
        <f>+IF(OR($Q250=Parametres!$G$2,$Q250=Parametres!$G$3),I250,C250)</f>
        <v>0</v>
      </c>
      <c r="O250" s="151">
        <f>+IF(OR($Q250=Parametres!$G$2,$Q250=Parametres!$G$3),J250,D250)</f>
        <v>5324.57</v>
      </c>
      <c r="P250" s="151">
        <f>+IF(OR($Q250=Parametres!$G$2,$Q250=Parametres!$G$3),K250,E250)</f>
        <v>5324.57</v>
      </c>
      <c r="Q250" s="150" t="str">
        <f t="shared" si="17"/>
        <v>7-Dépenses</v>
      </c>
      <c r="R250" s="149" t="str">
        <f t="shared" si="18"/>
        <v>12</v>
      </c>
      <c r="S250" s="150" t="str">
        <f t="shared" si="19"/>
        <v>_</v>
      </c>
      <c r="T250" s="152" t="str">
        <f>+VLOOKUP($L250,Data_Validation!$A:$D,1,0)</f>
        <v>12C</v>
      </c>
      <c r="U250" s="152" t="str">
        <f>+VLOOKUP($L250,Data_Validation!$A:$D,3,0)</f>
        <v>Véhicules usagés</v>
      </c>
      <c r="V250" s="152" t="str">
        <f>+VLOOKUP($L250,Data_Validation!$A:$D,4,0)</f>
        <v>Comm. F&amp;I</v>
      </c>
      <c r="W250" s="152" t="str">
        <f>+VLOOKUP($L250,Data_Validation!$A:$E,5,0)</f>
        <v>$</v>
      </c>
      <c r="X250" s="152">
        <f>+VLOOKUP($L250,Data_Validation!$A:$F,6,0)</f>
        <v>0</v>
      </c>
    </row>
    <row r="251" spans="1:24" ht="15" customHeight="1">
      <c r="A251" s="708" t="s">
        <v>1741</v>
      </c>
      <c r="B251" s="708" t="s">
        <v>875</v>
      </c>
      <c r="C251" s="709">
        <v>0</v>
      </c>
      <c r="D251" s="1274">
        <v>3.7</v>
      </c>
      <c r="E251" s="1274">
        <v>3.7</v>
      </c>
      <c r="F251" s="708" t="s">
        <v>2228</v>
      </c>
      <c r="G251" s="708" t="s">
        <v>2291</v>
      </c>
      <c r="H251" s="709" t="s">
        <v>3000</v>
      </c>
      <c r="I251" s="710"/>
      <c r="J251" s="710"/>
      <c r="K251" s="710"/>
      <c r="L251" s="149" t="str">
        <f t="shared" si="15"/>
        <v>13A</v>
      </c>
      <c r="M251" s="150" t="str">
        <f t="shared" si="16"/>
        <v>FRAIS LIVRAISON - NEUF BMW</v>
      </c>
      <c r="N251" s="151">
        <f>+IF(OR($Q251=Parametres!$G$2,$Q251=Parametres!$G$3),I251,C251)</f>
        <v>0</v>
      </c>
      <c r="O251" s="151">
        <f>+IF(OR($Q251=Parametres!$G$2,$Q251=Parametres!$G$3),J251,D251)</f>
        <v>3.7</v>
      </c>
      <c r="P251" s="151">
        <f>+IF(OR($Q251=Parametres!$G$2,$Q251=Parametres!$G$3),K251,E251)</f>
        <v>3.7</v>
      </c>
      <c r="Q251" s="150" t="str">
        <f t="shared" si="17"/>
        <v>7-Dépenses</v>
      </c>
      <c r="R251" s="149" t="str">
        <f t="shared" si="18"/>
        <v>13</v>
      </c>
      <c r="S251" s="150" t="str">
        <f t="shared" si="19"/>
        <v>_</v>
      </c>
      <c r="T251" s="152" t="str">
        <f>+VLOOKUP($L251,Data_Validation!$A:$D,1,0)</f>
        <v>13A</v>
      </c>
      <c r="U251" s="152" t="str">
        <f>+VLOOKUP($L251,Data_Validation!$A:$D,3,0)</f>
        <v>Véhicules neufs</v>
      </c>
      <c r="V251" s="152" t="str">
        <f>+VLOOKUP($L251,Data_Validation!$A:$D,4,0)</f>
        <v>Frais de livraison</v>
      </c>
      <c r="W251" s="152" t="str">
        <f>+VLOOKUP($L251,Data_Validation!$A:$E,5,0)</f>
        <v>$</v>
      </c>
      <c r="X251" s="152">
        <f>+VLOOKUP($L251,Data_Validation!$A:$F,6,0)</f>
        <v>0</v>
      </c>
    </row>
    <row r="252" spans="1:24" ht="15.75" customHeight="1">
      <c r="A252" s="708" t="s">
        <v>1673</v>
      </c>
      <c r="B252" s="708" t="s">
        <v>857</v>
      </c>
      <c r="C252" s="710">
        <v>0</v>
      </c>
      <c r="D252" s="710">
        <v>471.56</v>
      </c>
      <c r="E252" s="710">
        <v>471.56</v>
      </c>
      <c r="F252" s="708" t="s">
        <v>2228</v>
      </c>
      <c r="G252" s="708" t="s">
        <v>2291</v>
      </c>
      <c r="H252" s="657" t="s">
        <v>3000</v>
      </c>
      <c r="I252" s="656"/>
      <c r="J252" s="656"/>
      <c r="K252" s="656"/>
      <c r="L252" s="149" t="str">
        <f t="shared" si="15"/>
        <v>13C</v>
      </c>
      <c r="M252" s="150" t="str">
        <f t="shared" si="16"/>
        <v>FRAIS LIVRAISON - USAGE BMW</v>
      </c>
      <c r="N252" s="151">
        <f>+IF(OR($Q252=Parametres!$G$2,$Q252=Parametres!$G$3),I252,C252)</f>
        <v>0</v>
      </c>
      <c r="O252" s="151">
        <f>+IF(OR($Q252=Parametres!$G$2,$Q252=Parametres!$G$3),J252,D252)</f>
        <v>471.56</v>
      </c>
      <c r="P252" s="151">
        <f>+IF(OR($Q252=Parametres!$G$2,$Q252=Parametres!$G$3),K252,E252)</f>
        <v>471.56</v>
      </c>
      <c r="Q252" s="150" t="str">
        <f t="shared" si="17"/>
        <v>7-Dépenses</v>
      </c>
      <c r="R252" s="149" t="str">
        <f t="shared" si="18"/>
        <v>13</v>
      </c>
      <c r="S252" s="150" t="str">
        <f t="shared" si="19"/>
        <v>_</v>
      </c>
      <c r="T252" s="152" t="str">
        <f>+VLOOKUP($L252,Data_Validation!$A:$D,1,0)</f>
        <v>13C</v>
      </c>
      <c r="U252" s="152" t="str">
        <f>+VLOOKUP($L252,Data_Validation!$A:$D,3,0)</f>
        <v>Véhicules usagés</v>
      </c>
      <c r="V252" s="152" t="str">
        <f>+VLOOKUP($L252,Data_Validation!$A:$D,4,0)</f>
        <v>Frais de livraison</v>
      </c>
      <c r="W252" s="152" t="str">
        <f>+VLOOKUP($L252,Data_Validation!$A:$E,5,0)</f>
        <v>$</v>
      </c>
      <c r="X252" s="152">
        <f>+VLOOKUP($L252,Data_Validation!$A:$F,6,0)</f>
        <v>0</v>
      </c>
    </row>
    <row r="253" spans="1:24" ht="15" customHeight="1">
      <c r="A253" s="708" t="s">
        <v>389</v>
      </c>
      <c r="B253" s="708" t="s">
        <v>890</v>
      </c>
      <c r="C253" s="710">
        <v>0</v>
      </c>
      <c r="D253" s="710">
        <v>2852.87</v>
      </c>
      <c r="E253" s="710">
        <v>2852.87</v>
      </c>
      <c r="F253" s="708" t="s">
        <v>2228</v>
      </c>
      <c r="G253" s="708" t="s">
        <v>2293</v>
      </c>
      <c r="H253" s="664" t="s">
        <v>3000</v>
      </c>
      <c r="I253" s="663"/>
      <c r="J253" s="663"/>
      <c r="K253" s="663"/>
      <c r="L253" s="149" t="str">
        <f t="shared" si="15"/>
        <v>14A</v>
      </c>
      <c r="M253" s="150" t="str">
        <f t="shared" si="16"/>
        <v>ENTRETIEN INVENTAIRE NEUF</v>
      </c>
      <c r="N253" s="151">
        <f>+IF(OR($Q253=Parametres!$G$2,$Q253=Parametres!$G$3),I253,C253)</f>
        <v>0</v>
      </c>
      <c r="O253" s="151">
        <f>+IF(OR($Q253=Parametres!$G$2,$Q253=Parametres!$G$3),J253,D253)</f>
        <v>2852.87</v>
      </c>
      <c r="P253" s="151">
        <f>+IF(OR($Q253=Parametres!$G$2,$Q253=Parametres!$G$3),K253,E253)</f>
        <v>2852.87</v>
      </c>
      <c r="Q253" s="150" t="str">
        <f t="shared" si="17"/>
        <v>7-Dépenses</v>
      </c>
      <c r="R253" s="149" t="str">
        <f t="shared" si="18"/>
        <v>14</v>
      </c>
      <c r="S253" s="150" t="str">
        <f t="shared" si="19"/>
        <v>_</v>
      </c>
      <c r="T253" s="152" t="str">
        <f>+VLOOKUP($L253,Data_Validation!$A:$D,1,0)</f>
        <v>14A</v>
      </c>
      <c r="U253" s="152" t="str">
        <f>+VLOOKUP($L253,Data_Validation!$A:$D,3,0)</f>
        <v>Véhicules neufs</v>
      </c>
      <c r="V253" s="152" t="str">
        <f>+VLOOKUP($L253,Data_Validation!$A:$D,4,0)</f>
        <v>Entretien stock</v>
      </c>
      <c r="W253" s="152" t="str">
        <f>+VLOOKUP($L253,Data_Validation!$A:$E,5,0)</f>
        <v>$</v>
      </c>
      <c r="X253" s="152">
        <f>+VLOOKUP($L253,Data_Validation!$A:$F,6,0)</f>
        <v>0</v>
      </c>
    </row>
    <row r="254" spans="1:24" ht="15" customHeight="1">
      <c r="A254" s="708" t="s">
        <v>390</v>
      </c>
      <c r="B254" s="708" t="s">
        <v>925</v>
      </c>
      <c r="C254" s="710">
        <v>0</v>
      </c>
      <c r="D254" s="710">
        <v>2032.32</v>
      </c>
      <c r="E254" s="710">
        <v>2032.32</v>
      </c>
      <c r="F254" s="708" t="s">
        <v>2228</v>
      </c>
      <c r="G254" s="708" t="s">
        <v>2293</v>
      </c>
      <c r="H254" s="664" t="s">
        <v>3000</v>
      </c>
      <c r="I254" s="663"/>
      <c r="J254" s="663"/>
      <c r="K254" s="663"/>
      <c r="L254" s="149" t="str">
        <f t="shared" si="15"/>
        <v>14C</v>
      </c>
      <c r="M254" s="150" t="str">
        <f t="shared" si="16"/>
        <v>ENTRETIEN INVENTAIRE USAGE</v>
      </c>
      <c r="N254" s="151">
        <f>+IF(OR($Q254=Parametres!$G$2,$Q254=Parametres!$G$3),I254,C254)</f>
        <v>0</v>
      </c>
      <c r="O254" s="497">
        <f>+IF(OR($Q254=Parametres!$G$2,$Q254=Parametres!$G$3),J254,D254)</f>
        <v>2032.32</v>
      </c>
      <c r="P254" s="151">
        <f>+IF(OR($Q254=Parametres!$G$2,$Q254=Parametres!$G$3),K254,E254)</f>
        <v>2032.32</v>
      </c>
      <c r="Q254" s="150" t="str">
        <f t="shared" si="17"/>
        <v>7-Dépenses</v>
      </c>
      <c r="R254" s="149" t="str">
        <f t="shared" si="18"/>
        <v>14</v>
      </c>
      <c r="S254" s="150" t="str">
        <f t="shared" si="19"/>
        <v>_</v>
      </c>
      <c r="T254" s="152" t="str">
        <f>+VLOOKUP($L254,Data_Validation!$A:$D,1,0)</f>
        <v>14C</v>
      </c>
      <c r="U254" s="152" t="str">
        <f>+VLOOKUP($L254,Data_Validation!$A:$D,3,0)</f>
        <v>Véhicules usagés</v>
      </c>
      <c r="V254" s="152" t="str">
        <f>+VLOOKUP($L254,Data_Validation!$A:$D,4,0)</f>
        <v>Entretien stock</v>
      </c>
      <c r="W254" s="152" t="str">
        <f>+VLOOKUP($L254,Data_Validation!$A:$E,5,0)</f>
        <v>$</v>
      </c>
      <c r="X254" s="152">
        <f>+VLOOKUP($L254,Data_Validation!$A:$F,6,0)</f>
        <v>0</v>
      </c>
    </row>
    <row r="255" spans="1:24" ht="15" customHeight="1">
      <c r="A255" s="708" t="s">
        <v>1134</v>
      </c>
      <c r="B255" s="708" t="s">
        <v>892</v>
      </c>
      <c r="C255" s="710">
        <v>0</v>
      </c>
      <c r="D255" s="710">
        <v>12184.55</v>
      </c>
      <c r="E255" s="710">
        <v>12184.55</v>
      </c>
      <c r="F255" s="708" t="s">
        <v>2228</v>
      </c>
      <c r="G255" s="708" t="s">
        <v>2267</v>
      </c>
      <c r="H255" s="664" t="s">
        <v>3000</v>
      </c>
      <c r="I255" s="663"/>
      <c r="J255" s="663"/>
      <c r="K255" s="663"/>
      <c r="L255" s="149" t="str">
        <f t="shared" si="15"/>
        <v>16A</v>
      </c>
      <c r="M255" s="150" t="str">
        <f t="shared" si="16"/>
        <v>PUBLICITE - NEUF BMW</v>
      </c>
      <c r="N255" s="151">
        <f>+IF(OR($Q255=Parametres!$G$2,$Q255=Parametres!$G$3),I255,C255)</f>
        <v>0</v>
      </c>
      <c r="O255" s="151">
        <f>+IF(OR($Q255=Parametres!$G$2,$Q255=Parametres!$G$3),J255,D255)</f>
        <v>12184.55</v>
      </c>
      <c r="P255" s="151">
        <f>+IF(OR($Q255=Parametres!$G$2,$Q255=Parametres!$G$3),K255,E255)</f>
        <v>12184.55</v>
      </c>
      <c r="Q255" s="150" t="str">
        <f t="shared" si="17"/>
        <v>7-Dépenses</v>
      </c>
      <c r="R255" s="149" t="str">
        <f t="shared" si="18"/>
        <v>16</v>
      </c>
      <c r="S255" s="150" t="str">
        <f t="shared" si="19"/>
        <v>_</v>
      </c>
      <c r="T255" s="152" t="str">
        <f>+VLOOKUP($L255,Data_Validation!$A:$D,1,0)</f>
        <v>16A</v>
      </c>
      <c r="U255" s="152" t="str">
        <f>+VLOOKUP($L255,Data_Validation!$A:$D,3,0)</f>
        <v>Véhicules neufs</v>
      </c>
      <c r="V255" s="152" t="str">
        <f>+VLOOKUP($L255,Data_Validation!$A:$D,4,0)</f>
        <v>Publicité 1</v>
      </c>
      <c r="W255" s="152" t="str">
        <f>+VLOOKUP($L255,Data_Validation!$A:$E,5,0)</f>
        <v>$</v>
      </c>
      <c r="X255" s="152">
        <f>+VLOOKUP($L255,Data_Validation!$A:$F,6,0)</f>
        <v>0</v>
      </c>
    </row>
    <row r="256" spans="1:24" ht="15.75" customHeight="1">
      <c r="A256" s="708" t="s">
        <v>1189</v>
      </c>
      <c r="B256" s="708" t="s">
        <v>916</v>
      </c>
      <c r="C256" s="710">
        <v>0</v>
      </c>
      <c r="D256" s="710">
        <v>346.5</v>
      </c>
      <c r="E256" s="710">
        <v>346.5</v>
      </c>
      <c r="F256" s="708" t="s">
        <v>2228</v>
      </c>
      <c r="G256" s="708" t="s">
        <v>2267</v>
      </c>
      <c r="H256" s="657" t="s">
        <v>3000</v>
      </c>
      <c r="I256" s="656"/>
      <c r="J256" s="656"/>
      <c r="K256" s="656"/>
      <c r="L256" s="149" t="str">
        <f t="shared" si="15"/>
        <v>16C</v>
      </c>
      <c r="M256" s="150" t="str">
        <f t="shared" si="16"/>
        <v>PUBLICITE - USAGE BMW</v>
      </c>
      <c r="N256" s="151">
        <f>+IF(OR($Q256=Parametres!$G$2,$Q256=Parametres!$G$3),I256,C256)</f>
        <v>0</v>
      </c>
      <c r="O256" s="151">
        <f>+IF(OR($Q256=Parametres!$G$2,$Q256=Parametres!$G$3),J256,D256)</f>
        <v>346.5</v>
      </c>
      <c r="P256" s="151">
        <f>+IF(OR($Q256=Parametres!$G$2,$Q256=Parametres!$G$3),K256,E256)</f>
        <v>346.5</v>
      </c>
      <c r="Q256" s="150" t="str">
        <f t="shared" si="17"/>
        <v>7-Dépenses</v>
      </c>
      <c r="R256" s="149" t="str">
        <f t="shared" si="18"/>
        <v>16</v>
      </c>
      <c r="S256" s="150" t="str">
        <f t="shared" si="19"/>
        <v>_</v>
      </c>
      <c r="T256" s="152" t="str">
        <f>+VLOOKUP($L256,Data_Validation!$A:$D,1,0)</f>
        <v>16C</v>
      </c>
      <c r="U256" s="152" t="str">
        <f>+VLOOKUP($L256,Data_Validation!$A:$D,3,0)</f>
        <v>Véhicules usagés</v>
      </c>
      <c r="V256" s="152" t="str">
        <f>+VLOOKUP($L256,Data_Validation!$A:$D,4,0)</f>
        <v>Publicité 1</v>
      </c>
      <c r="W256" s="152" t="str">
        <f>+VLOOKUP($L256,Data_Validation!$A:$E,5,0)</f>
        <v>$</v>
      </c>
      <c r="X256" s="152">
        <f>+VLOOKUP($L256,Data_Validation!$A:$F,6,0)</f>
        <v>0</v>
      </c>
    </row>
    <row r="257" spans="1:24" ht="15" customHeight="1">
      <c r="A257" s="708" t="s">
        <v>1767</v>
      </c>
      <c r="B257" s="708" t="s">
        <v>945</v>
      </c>
      <c r="C257" s="709">
        <v>0</v>
      </c>
      <c r="D257" s="1274">
        <v>1382.06</v>
      </c>
      <c r="E257" s="1274">
        <v>1382.06</v>
      </c>
      <c r="F257" s="708" t="s">
        <v>2228</v>
      </c>
      <c r="G257" s="708" t="s">
        <v>2267</v>
      </c>
      <c r="H257" s="709" t="s">
        <v>3000</v>
      </c>
      <c r="I257" s="710"/>
      <c r="J257" s="710"/>
      <c r="K257" s="710"/>
      <c r="L257" s="149" t="str">
        <f t="shared" si="15"/>
        <v>16E</v>
      </c>
      <c r="M257" s="150" t="str">
        <f t="shared" si="16"/>
        <v>PUBLICITE - SERV. BMW</v>
      </c>
      <c r="N257" s="151">
        <f>+IF(OR($Q257=Parametres!$G$2,$Q257=Parametres!$G$3),I257,C257)</f>
        <v>0</v>
      </c>
      <c r="O257" s="151">
        <f>+IF(OR($Q257=Parametres!$G$2,$Q257=Parametres!$G$3),J257,D257)</f>
        <v>1382.06</v>
      </c>
      <c r="P257" s="151">
        <f>+IF(OR($Q257=Parametres!$G$2,$Q257=Parametres!$G$3),K257,E257)</f>
        <v>1382.06</v>
      </c>
      <c r="Q257" s="150" t="str">
        <f t="shared" si="17"/>
        <v>7-Dépenses</v>
      </c>
      <c r="R257" s="149" t="str">
        <f t="shared" si="18"/>
        <v>16</v>
      </c>
      <c r="S257" s="150" t="str">
        <f t="shared" si="19"/>
        <v>_</v>
      </c>
      <c r="T257" s="152" t="str">
        <f>+VLOOKUP($L257,Data_Validation!$A:$D,1,0)</f>
        <v>16E</v>
      </c>
      <c r="U257" s="152" t="str">
        <f>+VLOOKUP($L257,Data_Validation!$A:$D,3,0)</f>
        <v>Service</v>
      </c>
      <c r="V257" s="152" t="str">
        <f>+VLOOKUP($L257,Data_Validation!$A:$D,4,0)</f>
        <v>Publicité 2</v>
      </c>
      <c r="W257" s="152" t="str">
        <f>+VLOOKUP($L257,Data_Validation!$A:$E,5,0)</f>
        <v>$</v>
      </c>
      <c r="X257" s="152">
        <f>+VLOOKUP($L257,Data_Validation!$A:$F,6,0)</f>
        <v>0</v>
      </c>
    </row>
    <row r="258" spans="1:24" ht="15" customHeight="1">
      <c r="A258" s="708" t="s">
        <v>1723</v>
      </c>
      <c r="B258" s="708" t="s">
        <v>860</v>
      </c>
      <c r="C258" s="710">
        <v>0</v>
      </c>
      <c r="D258" s="710">
        <v>813.13</v>
      </c>
      <c r="E258" s="710">
        <v>813.13</v>
      </c>
      <c r="F258" s="708" t="s">
        <v>2228</v>
      </c>
      <c r="G258" s="708" t="s">
        <v>2267</v>
      </c>
      <c r="H258" s="664" t="s">
        <v>3000</v>
      </c>
      <c r="I258" s="663"/>
      <c r="J258" s="663"/>
      <c r="K258" s="663"/>
      <c r="L258" s="149" t="str">
        <f t="shared" ref="L258:L321" si="20">+B258</f>
        <v>16G</v>
      </c>
      <c r="M258" s="150" t="str">
        <f t="shared" ref="M258:M321" si="21">+A258</f>
        <v>PUBLICITE - PIECE BMW</v>
      </c>
      <c r="N258" s="151">
        <f>+IF(OR($Q258=Parametres!$G$2,$Q258=Parametres!$G$3),I258,C258)</f>
        <v>0</v>
      </c>
      <c r="O258" s="151">
        <f>+IF(OR($Q258=Parametres!$G$2,$Q258=Parametres!$G$3),J258,D258)</f>
        <v>813.13</v>
      </c>
      <c r="P258" s="151">
        <f>+IF(OR($Q258=Parametres!$G$2,$Q258=Parametres!$G$3),K258,E258)</f>
        <v>813.13</v>
      </c>
      <c r="Q258" s="150" t="str">
        <f t="shared" ref="Q258:Q321" si="22">+F258</f>
        <v>7-Dépenses</v>
      </c>
      <c r="R258" s="149" t="str">
        <f t="shared" ref="R258:R321" si="23">+G258</f>
        <v>16</v>
      </c>
      <c r="S258" s="150" t="str">
        <f t="shared" ref="S258:S321" si="24">+H258</f>
        <v>_</v>
      </c>
      <c r="T258" s="152" t="str">
        <f>+VLOOKUP($L258,Data_Validation!$A:$D,1,0)</f>
        <v>16G</v>
      </c>
      <c r="U258" s="152" t="str">
        <f>+VLOOKUP($L258,Data_Validation!$A:$D,3,0)</f>
        <v>Pièces</v>
      </c>
      <c r="V258" s="152" t="str">
        <f>+VLOOKUP($L258,Data_Validation!$A:$D,4,0)</f>
        <v>Publicité 2</v>
      </c>
      <c r="W258" s="152" t="str">
        <f>+VLOOKUP($L258,Data_Validation!$A:$E,5,0)</f>
        <v>$</v>
      </c>
      <c r="X258" s="152">
        <f>+VLOOKUP($L258,Data_Validation!$A:$F,6,0)</f>
        <v>0</v>
      </c>
    </row>
    <row r="259" spans="1:24" ht="15" customHeight="1">
      <c r="A259" s="708" t="s">
        <v>1665</v>
      </c>
      <c r="B259" s="708" t="s">
        <v>930</v>
      </c>
      <c r="C259" s="710">
        <v>0</v>
      </c>
      <c r="D259" s="710">
        <v>-780</v>
      </c>
      <c r="E259" s="710">
        <v>-780</v>
      </c>
      <c r="F259" s="708" t="s">
        <v>2228</v>
      </c>
      <c r="G259" s="708" t="s">
        <v>2256</v>
      </c>
      <c r="H259" s="664" t="s">
        <v>3000</v>
      </c>
      <c r="I259" s="663"/>
      <c r="J259" s="663"/>
      <c r="K259" s="663"/>
      <c r="L259" s="149" t="str">
        <f t="shared" si="20"/>
        <v>17A</v>
      </c>
      <c r="M259" s="150" t="str">
        <f t="shared" si="21"/>
        <v>PUBLICITE GROUPE - NEUF BMW</v>
      </c>
      <c r="N259" s="151">
        <f>+IF(OR($Q259=Parametres!$G$2,$Q259=Parametres!$G$3),I259,C259)</f>
        <v>0</v>
      </c>
      <c r="O259" s="151">
        <f>+IF(OR($Q259=Parametres!$G$2,$Q259=Parametres!$G$3),J259,D259)</f>
        <v>-780</v>
      </c>
      <c r="P259" s="151">
        <f>+IF(OR($Q259=Parametres!$G$2,$Q259=Parametres!$G$3),K259,E259)</f>
        <v>-780</v>
      </c>
      <c r="Q259" s="150" t="str">
        <f t="shared" si="22"/>
        <v>7-Dépenses</v>
      </c>
      <c r="R259" s="149" t="str">
        <f t="shared" si="23"/>
        <v>17</v>
      </c>
      <c r="S259" s="150" t="str">
        <f t="shared" si="24"/>
        <v>_</v>
      </c>
      <c r="T259" s="152" t="str">
        <f>+VLOOKUP($L259,Data_Validation!$A:$D,1,0)</f>
        <v>17A</v>
      </c>
      <c r="U259" s="152" t="str">
        <f>+VLOOKUP($L259,Data_Validation!$A:$D,3,0)</f>
        <v>Véhicules neufs</v>
      </c>
      <c r="V259" s="152" t="str">
        <f>+VLOOKUP($L259,Data_Validation!$A:$D,4,0)</f>
        <v>Publicité 1</v>
      </c>
      <c r="W259" s="152" t="str">
        <f>+VLOOKUP($L259,Data_Validation!$A:$E,5,0)</f>
        <v>$</v>
      </c>
      <c r="X259" s="152">
        <f>+VLOOKUP($L259,Data_Validation!$A:$F,6,0)</f>
        <v>0</v>
      </c>
    </row>
    <row r="260" spans="1:24" ht="15" customHeight="1">
      <c r="A260" s="708" t="s">
        <v>1819</v>
      </c>
      <c r="B260" s="708" t="s">
        <v>941</v>
      </c>
      <c r="C260" s="710">
        <v>0</v>
      </c>
      <c r="D260" s="710">
        <v>22533.279999999999</v>
      </c>
      <c r="E260" s="710">
        <v>22533.279999999999</v>
      </c>
      <c r="F260" s="708" t="s">
        <v>2228</v>
      </c>
      <c r="G260" s="708" t="s">
        <v>2290</v>
      </c>
      <c r="H260" s="657" t="s">
        <v>3000</v>
      </c>
      <c r="I260" s="656"/>
      <c r="J260" s="656"/>
      <c r="K260" s="656"/>
      <c r="L260" s="149" t="str">
        <f t="shared" si="20"/>
        <v>18A</v>
      </c>
      <c r="M260" s="150" t="str">
        <f t="shared" si="21"/>
        <v>INT. FLOOR PLAN - NEUF BMW</v>
      </c>
      <c r="N260" s="151">
        <f>+IF(OR($Q260=Parametres!$G$2,$Q260=Parametres!$G$3),I260,C260)</f>
        <v>0</v>
      </c>
      <c r="O260" s="151">
        <f>+IF(OR($Q260=Parametres!$G$2,$Q260=Parametres!$G$3),J260,D260)</f>
        <v>22533.279999999999</v>
      </c>
      <c r="P260" s="151">
        <f>+IF(OR($Q260=Parametres!$G$2,$Q260=Parametres!$G$3),K260,E260)</f>
        <v>22533.279999999999</v>
      </c>
      <c r="Q260" s="150" t="str">
        <f t="shared" si="22"/>
        <v>7-Dépenses</v>
      </c>
      <c r="R260" s="149" t="str">
        <f t="shared" si="23"/>
        <v>18</v>
      </c>
      <c r="S260" s="150" t="str">
        <f t="shared" si="24"/>
        <v>_</v>
      </c>
      <c r="T260" s="152" t="str">
        <f>+VLOOKUP($L260,Data_Validation!$A:$D,1,0)</f>
        <v>18A</v>
      </c>
      <c r="U260" s="152" t="str">
        <f>+VLOOKUP($L260,Data_Validation!$A:$D,3,0)</f>
        <v>Véhicules neufs</v>
      </c>
      <c r="V260" s="152" t="str">
        <f>+VLOOKUP($L260,Data_Validation!$A:$D,4,0)</f>
        <v>Intérêt de gros</v>
      </c>
      <c r="W260" s="152" t="str">
        <f>+VLOOKUP($L260,Data_Validation!$A:$E,5,0)</f>
        <v>$</v>
      </c>
      <c r="X260" s="152">
        <f>+VLOOKUP($L260,Data_Validation!$A:$F,6,0)</f>
        <v>0</v>
      </c>
    </row>
    <row r="261" spans="1:24" ht="15" customHeight="1">
      <c r="A261" s="708" t="s">
        <v>1706</v>
      </c>
      <c r="B261" s="708" t="s">
        <v>787</v>
      </c>
      <c r="C261" s="710">
        <v>0</v>
      </c>
      <c r="D261" s="710">
        <v>2015.91</v>
      </c>
      <c r="E261" s="710">
        <v>2015.91</v>
      </c>
      <c r="F261" s="708" t="s">
        <v>2228</v>
      </c>
      <c r="G261" s="708" t="s">
        <v>2290</v>
      </c>
      <c r="H261" s="664" t="s">
        <v>3000</v>
      </c>
      <c r="I261" s="663"/>
      <c r="J261" s="663"/>
      <c r="K261" s="663"/>
      <c r="L261" s="149" t="str">
        <f t="shared" si="20"/>
        <v>18C</v>
      </c>
      <c r="M261" s="150" t="str">
        <f t="shared" si="21"/>
        <v>INT. FLOOR PLAN - USAGE BMW</v>
      </c>
      <c r="N261" s="151">
        <f>+IF(OR($Q261=Parametres!$G$2,$Q261=Parametres!$G$3),I261,C261)</f>
        <v>0</v>
      </c>
      <c r="O261" s="151">
        <f>+IF(OR($Q261=Parametres!$G$2,$Q261=Parametres!$G$3),J261,D261)</f>
        <v>2015.91</v>
      </c>
      <c r="P261" s="151">
        <f>+IF(OR($Q261=Parametres!$G$2,$Q261=Parametres!$G$3),K261,E261)</f>
        <v>2015.91</v>
      </c>
      <c r="Q261" s="150" t="str">
        <f t="shared" si="22"/>
        <v>7-Dépenses</v>
      </c>
      <c r="R261" s="149" t="str">
        <f t="shared" si="23"/>
        <v>18</v>
      </c>
      <c r="S261" s="150" t="str">
        <f t="shared" si="24"/>
        <v>_</v>
      </c>
      <c r="T261" s="152" t="str">
        <f>+VLOOKUP($L261,Data_Validation!$A:$D,1,0)</f>
        <v>18C</v>
      </c>
      <c r="U261" s="152" t="str">
        <f>+VLOOKUP($L261,Data_Validation!$A:$D,3,0)</f>
        <v>Véhicules usagés</v>
      </c>
      <c r="V261" s="152" t="str">
        <f>+VLOOKUP($L261,Data_Validation!$A:$D,4,0)</f>
        <v>Intérêt de gros</v>
      </c>
      <c r="W261" s="152" t="str">
        <f>+VLOOKUP($L261,Data_Validation!$A:$E,5,0)</f>
        <v>$</v>
      </c>
      <c r="X261" s="152">
        <f>+VLOOKUP($L261,Data_Validation!$A:$F,6,0)</f>
        <v>0</v>
      </c>
    </row>
    <row r="262" spans="1:24" ht="15.75" customHeight="1">
      <c r="A262" s="662" t="s">
        <v>2852</v>
      </c>
      <c r="B262" s="662" t="s">
        <v>2853</v>
      </c>
      <c r="C262" s="663">
        <v>0</v>
      </c>
      <c r="D262" s="663">
        <v>-3031.47</v>
      </c>
      <c r="E262" s="663">
        <v>-3031.47</v>
      </c>
      <c r="F262" s="662" t="s">
        <v>2228</v>
      </c>
      <c r="G262" s="662" t="s">
        <v>2290</v>
      </c>
      <c r="H262" s="657" t="s">
        <v>3000</v>
      </c>
      <c r="I262" s="656"/>
      <c r="J262" s="656"/>
      <c r="K262" s="656"/>
      <c r="L262" s="149" t="str">
        <f t="shared" si="20"/>
        <v>18L</v>
      </c>
      <c r="M262" s="150" t="str">
        <f t="shared" si="21"/>
        <v>CREDIT INT FLOOR PLAN</v>
      </c>
      <c r="N262" s="151">
        <f>+IF(OR($Q262=Parametres!$G$2,$Q262=Parametres!$G$3),I262,C262)</f>
        <v>0</v>
      </c>
      <c r="O262" s="151">
        <f>+IF(OR($Q262=Parametres!$G$2,$Q262=Parametres!$G$3),J262,D262)</f>
        <v>-3031.47</v>
      </c>
      <c r="P262" s="151">
        <f>+IF(OR($Q262=Parametres!$G$2,$Q262=Parametres!$G$3),K262,E262)</f>
        <v>-3031.47</v>
      </c>
      <c r="Q262" s="150" t="str">
        <f t="shared" si="22"/>
        <v>7-Dépenses</v>
      </c>
      <c r="R262" s="149" t="str">
        <f t="shared" si="23"/>
        <v>18</v>
      </c>
      <c r="S262" s="150" t="str">
        <f t="shared" si="24"/>
        <v>_</v>
      </c>
      <c r="T262" s="152" t="str">
        <f>+VLOOKUP($L262,Data_Validation!$A:$D,1,0)</f>
        <v>18L</v>
      </c>
      <c r="U262" s="152" t="str">
        <f>+VLOOKUP($L262,Data_Validation!$A:$D,3,0)</f>
        <v>Autres</v>
      </c>
      <c r="V262" s="152" t="str">
        <f>+VLOOKUP($L262,Data_Validation!$A:$D,4,0)</f>
        <v>Revenus d'intérêts floor plan</v>
      </c>
      <c r="W262" s="152" t="str">
        <f>+VLOOKUP($L262,Data_Validation!$A:$E,5,0)</f>
        <v>$</v>
      </c>
      <c r="X262" s="152">
        <f>+VLOOKUP($L262,Data_Validation!$A:$F,6,0)</f>
        <v>0</v>
      </c>
    </row>
    <row r="263" spans="1:24" ht="15" customHeight="1">
      <c r="A263" s="708" t="s">
        <v>1181</v>
      </c>
      <c r="B263" s="708" t="s">
        <v>461</v>
      </c>
      <c r="C263" s="710">
        <v>0</v>
      </c>
      <c r="D263" s="710">
        <v>-800</v>
      </c>
      <c r="E263" s="710">
        <v>-800</v>
      </c>
      <c r="F263" s="708" t="s">
        <v>2228</v>
      </c>
      <c r="G263" s="708" t="s">
        <v>2255</v>
      </c>
      <c r="H263" s="664" t="s">
        <v>3000</v>
      </c>
      <c r="I263" s="663"/>
      <c r="J263" s="663"/>
      <c r="K263" s="663"/>
      <c r="L263" s="149" t="str">
        <f t="shared" si="20"/>
        <v>19A</v>
      </c>
      <c r="M263" s="150" t="str">
        <f t="shared" si="21"/>
        <v>RECOUV. PUBLICITE - NEUF BMW</v>
      </c>
      <c r="N263" s="151">
        <f>+IF(OR($Q263=Parametres!$G$2,$Q263=Parametres!$G$3),I263,C263)</f>
        <v>0</v>
      </c>
      <c r="O263" s="151">
        <f>+IF(OR($Q263=Parametres!$G$2,$Q263=Parametres!$G$3),J263,D263)</f>
        <v>-800</v>
      </c>
      <c r="P263" s="151">
        <f>+IF(OR($Q263=Parametres!$G$2,$Q263=Parametres!$G$3),K263,E263)</f>
        <v>-800</v>
      </c>
      <c r="Q263" s="150" t="str">
        <f t="shared" si="22"/>
        <v>7-Dépenses</v>
      </c>
      <c r="R263" s="149" t="str">
        <f t="shared" si="23"/>
        <v>19</v>
      </c>
      <c r="S263" s="150" t="str">
        <f t="shared" si="24"/>
        <v>_</v>
      </c>
      <c r="T263" s="152" t="str">
        <f>+VLOOKUP($L263,Data_Validation!$A:$D,1,0)</f>
        <v>19A</v>
      </c>
      <c r="U263" s="152" t="str">
        <f>+VLOOKUP($L263,Data_Validation!$A:$D,3,0)</f>
        <v>Véhicules neufs</v>
      </c>
      <c r="V263" s="152" t="str">
        <f>+VLOOKUP($L263,Data_Validation!$A:$D,4,0)</f>
        <v>Publicité 1</v>
      </c>
      <c r="W263" s="152" t="str">
        <f>+VLOOKUP($L263,Data_Validation!$A:$E,5,0)</f>
        <v>$</v>
      </c>
      <c r="X263" s="152">
        <f>+VLOOKUP($L263,Data_Validation!$A:$F,6,0)</f>
        <v>0</v>
      </c>
    </row>
    <row r="264" spans="1:24" ht="15" customHeight="1">
      <c r="A264" s="708" t="s">
        <v>1200</v>
      </c>
      <c r="B264" s="708" t="s">
        <v>463</v>
      </c>
      <c r="C264" s="709">
        <v>0</v>
      </c>
      <c r="D264" s="709">
        <v>-500</v>
      </c>
      <c r="E264" s="709">
        <v>-500</v>
      </c>
      <c r="F264" s="708" t="s">
        <v>2228</v>
      </c>
      <c r="G264" s="708" t="s">
        <v>2255</v>
      </c>
      <c r="H264" s="709" t="s">
        <v>3000</v>
      </c>
      <c r="I264" s="710"/>
      <c r="J264" s="710"/>
      <c r="K264" s="710"/>
      <c r="L264" s="149" t="str">
        <f t="shared" si="20"/>
        <v>19C</v>
      </c>
      <c r="M264" s="150" t="str">
        <f t="shared" si="21"/>
        <v>RECOUV. PUBLICITE - USAGE BMW</v>
      </c>
      <c r="N264" s="151">
        <f>+IF(OR($Q264=Parametres!$G$2,$Q264=Parametres!$G$3),I264,C264)</f>
        <v>0</v>
      </c>
      <c r="O264" s="151">
        <f>+IF(OR($Q264=Parametres!$G$2,$Q264=Parametres!$G$3),J264,D264)</f>
        <v>-500</v>
      </c>
      <c r="P264" s="151">
        <f>+IF(OR($Q264=Parametres!$G$2,$Q264=Parametres!$G$3),K264,E264)</f>
        <v>-500</v>
      </c>
      <c r="Q264" s="150" t="str">
        <f t="shared" si="22"/>
        <v>7-Dépenses</v>
      </c>
      <c r="R264" s="149" t="str">
        <f t="shared" si="23"/>
        <v>19</v>
      </c>
      <c r="S264" s="150" t="str">
        <f t="shared" si="24"/>
        <v>_</v>
      </c>
      <c r="T264" s="152" t="str">
        <f>+VLOOKUP($L264,Data_Validation!$A:$D,1,0)</f>
        <v>19C</v>
      </c>
      <c r="U264" s="152" t="str">
        <f>+VLOOKUP($L264,Data_Validation!$A:$D,3,0)</f>
        <v>Véhicules usagés</v>
      </c>
      <c r="V264" s="152" t="str">
        <f>+VLOOKUP($L264,Data_Validation!$A:$D,4,0)</f>
        <v>Publicité 1</v>
      </c>
      <c r="W264" s="152" t="str">
        <f>+VLOOKUP($L264,Data_Validation!$A:$E,5,0)</f>
        <v>$</v>
      </c>
      <c r="X264" s="152">
        <f>+VLOOKUP($L264,Data_Validation!$A:$F,6,0)</f>
        <v>0</v>
      </c>
    </row>
    <row r="265" spans="1:24" ht="15" customHeight="1">
      <c r="A265" s="708" t="s">
        <v>1822</v>
      </c>
      <c r="B265" s="708" t="s">
        <v>942</v>
      </c>
      <c r="C265" s="710">
        <v>0</v>
      </c>
      <c r="D265" s="710">
        <v>6515.65</v>
      </c>
      <c r="E265" s="710">
        <v>6515.65</v>
      </c>
      <c r="F265" s="708" t="s">
        <v>2228</v>
      </c>
      <c r="G265" s="708" t="s">
        <v>2288</v>
      </c>
      <c r="H265" s="657" t="s">
        <v>3000</v>
      </c>
      <c r="I265" s="656"/>
      <c r="J265" s="656"/>
      <c r="K265" s="656"/>
      <c r="L265" s="149" t="str">
        <f t="shared" si="20"/>
        <v>20A</v>
      </c>
      <c r="M265" s="150" t="str">
        <f t="shared" si="21"/>
        <v>SAL. PROPRIETAIRE - NEUF BMW</v>
      </c>
      <c r="N265" s="151">
        <f>+IF(OR($Q265=Parametres!$G$2,$Q265=Parametres!$G$3),I265,C265)</f>
        <v>0</v>
      </c>
      <c r="O265" s="151">
        <f>+IF(OR($Q265=Parametres!$G$2,$Q265=Parametres!$G$3),J265,D265)</f>
        <v>6515.65</v>
      </c>
      <c r="P265" s="151">
        <f>+IF(OR($Q265=Parametres!$G$2,$Q265=Parametres!$G$3),K265,E265)</f>
        <v>6515.65</v>
      </c>
      <c r="Q265" s="150" t="str">
        <f t="shared" si="22"/>
        <v>7-Dépenses</v>
      </c>
      <c r="R265" s="149" t="str">
        <f t="shared" si="23"/>
        <v>20</v>
      </c>
      <c r="S265" s="150" t="str">
        <f t="shared" si="24"/>
        <v>_</v>
      </c>
      <c r="T265" s="152" t="str">
        <f>+VLOOKUP($L265,Data_Validation!$A:$D,1,0)</f>
        <v>20A</v>
      </c>
      <c r="U265" s="152" t="str">
        <f>+VLOOKUP($L265,Data_Validation!$A:$D,3,0)</f>
        <v>Véhicules neufs</v>
      </c>
      <c r="V265" s="152" t="str">
        <f>+VLOOKUP($L265,Data_Validation!$A:$D,4,0)</f>
        <v>Salaires propriétaire</v>
      </c>
      <c r="W265" s="152" t="str">
        <f>+VLOOKUP($L265,Data_Validation!$A:$E,5,0)</f>
        <v>$</v>
      </c>
      <c r="X265" s="152">
        <f>+VLOOKUP($L265,Data_Validation!$A:$F,6,0)</f>
        <v>0</v>
      </c>
    </row>
    <row r="266" spans="1:24" ht="15" customHeight="1">
      <c r="A266" s="708" t="s">
        <v>1797</v>
      </c>
      <c r="B266" s="708" t="s">
        <v>907</v>
      </c>
      <c r="C266" s="710">
        <v>0</v>
      </c>
      <c r="D266" s="710">
        <v>1447.92</v>
      </c>
      <c r="E266" s="710">
        <v>1447.92</v>
      </c>
      <c r="F266" s="708" t="s">
        <v>2228</v>
      </c>
      <c r="G266" s="708" t="s">
        <v>2288</v>
      </c>
      <c r="H266" s="664" t="s">
        <v>3000</v>
      </c>
      <c r="I266" s="664"/>
      <c r="J266" s="664"/>
      <c r="K266" s="664"/>
      <c r="L266" s="149" t="str">
        <f t="shared" si="20"/>
        <v>20C</v>
      </c>
      <c r="M266" s="150" t="str">
        <f t="shared" si="21"/>
        <v>SAL. PROPRIETAIRE - USAGE BMW</v>
      </c>
      <c r="N266" s="151">
        <f>+IF(OR($Q266=Parametres!$G$2,$Q266=Parametres!$G$3),I266,C266)</f>
        <v>0</v>
      </c>
      <c r="O266" s="497">
        <f>+IF(OR($Q266=Parametres!$G$2,$Q266=Parametres!$G$3),J266,D266)</f>
        <v>1447.92</v>
      </c>
      <c r="P266" s="151">
        <f>+IF(OR($Q266=Parametres!$G$2,$Q266=Parametres!$G$3),K266,E266)</f>
        <v>1447.92</v>
      </c>
      <c r="Q266" s="150" t="str">
        <f t="shared" si="22"/>
        <v>7-Dépenses</v>
      </c>
      <c r="R266" s="149" t="str">
        <f t="shared" si="23"/>
        <v>20</v>
      </c>
      <c r="S266" s="150" t="str">
        <f t="shared" si="24"/>
        <v>_</v>
      </c>
      <c r="T266" s="152" t="str">
        <f>+VLOOKUP($L266,Data_Validation!$A:$D,1,0)</f>
        <v>20C</v>
      </c>
      <c r="U266" s="152" t="str">
        <f>+VLOOKUP($L266,Data_Validation!$A:$D,3,0)</f>
        <v>Véhicules usagés</v>
      </c>
      <c r="V266" s="152" t="str">
        <f>+VLOOKUP($L266,Data_Validation!$A:$D,4,0)</f>
        <v>Salaires propriétaire</v>
      </c>
      <c r="W266" s="152" t="str">
        <f>+VLOOKUP($L266,Data_Validation!$A:$E,5,0)</f>
        <v>$</v>
      </c>
      <c r="X266" s="152">
        <f>+VLOOKUP($L266,Data_Validation!$A:$F,6,0)</f>
        <v>0</v>
      </c>
    </row>
    <row r="267" spans="1:24" ht="15" customHeight="1">
      <c r="A267" s="708" t="s">
        <v>1783</v>
      </c>
      <c r="B267" s="708" t="s">
        <v>897</v>
      </c>
      <c r="C267" s="710">
        <v>0</v>
      </c>
      <c r="D267" s="710">
        <v>3619.82</v>
      </c>
      <c r="E267" s="710">
        <v>3619.82</v>
      </c>
      <c r="F267" s="708" t="s">
        <v>2228</v>
      </c>
      <c r="G267" s="708" t="s">
        <v>2288</v>
      </c>
      <c r="H267" s="664" t="s">
        <v>3000</v>
      </c>
      <c r="I267" s="663"/>
      <c r="J267" s="663"/>
      <c r="K267" s="663"/>
      <c r="L267" s="149" t="str">
        <f t="shared" si="20"/>
        <v>20E</v>
      </c>
      <c r="M267" s="150" t="str">
        <f t="shared" si="21"/>
        <v>SAL. PROPRIETAIRE - SERV. BMW</v>
      </c>
      <c r="N267" s="151">
        <f>+IF(OR($Q267=Parametres!$G$2,$Q267=Parametres!$G$3),I267,C267)</f>
        <v>0</v>
      </c>
      <c r="O267" s="151">
        <f>+IF(OR($Q267=Parametres!$G$2,$Q267=Parametres!$G$3),J267,D267)</f>
        <v>3619.82</v>
      </c>
      <c r="P267" s="151">
        <f>+IF(OR($Q267=Parametres!$G$2,$Q267=Parametres!$G$3),K267,E267)</f>
        <v>3619.82</v>
      </c>
      <c r="Q267" s="150" t="str">
        <f t="shared" si="22"/>
        <v>7-Dépenses</v>
      </c>
      <c r="R267" s="149" t="str">
        <f t="shared" si="23"/>
        <v>20</v>
      </c>
      <c r="S267" s="150" t="str">
        <f t="shared" si="24"/>
        <v>_</v>
      </c>
      <c r="T267" s="152" t="str">
        <f>+VLOOKUP($L267,Data_Validation!$A:$D,1,0)</f>
        <v>20E</v>
      </c>
      <c r="U267" s="152" t="str">
        <f>+VLOOKUP($L267,Data_Validation!$A:$D,3,0)</f>
        <v>Service</v>
      </c>
      <c r="V267" s="152" t="str">
        <f>+VLOOKUP($L267,Data_Validation!$A:$D,4,0)</f>
        <v>Salaires propriétaire</v>
      </c>
      <c r="W267" s="152" t="str">
        <f>+VLOOKUP($L267,Data_Validation!$A:$E,5,0)</f>
        <v>$</v>
      </c>
      <c r="X267" s="152">
        <f>+VLOOKUP($L267,Data_Validation!$A:$F,6,0)</f>
        <v>0</v>
      </c>
    </row>
    <row r="268" spans="1:24" ht="15" customHeight="1">
      <c r="A268" s="708" t="s">
        <v>1774</v>
      </c>
      <c r="B268" s="708" t="s">
        <v>887</v>
      </c>
      <c r="C268" s="710">
        <v>0</v>
      </c>
      <c r="D268" s="710">
        <v>2895.82</v>
      </c>
      <c r="E268" s="710">
        <v>2895.82</v>
      </c>
      <c r="F268" s="708" t="s">
        <v>2228</v>
      </c>
      <c r="G268" s="708" t="s">
        <v>2288</v>
      </c>
      <c r="H268" s="664" t="s">
        <v>3000</v>
      </c>
      <c r="I268" s="664"/>
      <c r="J268" s="664"/>
      <c r="K268" s="664"/>
      <c r="L268" s="149" t="str">
        <f t="shared" si="20"/>
        <v>20G</v>
      </c>
      <c r="M268" s="150" t="str">
        <f t="shared" si="21"/>
        <v>SAL. PROPRIETAIRE - PIECE BMW</v>
      </c>
      <c r="N268" s="151">
        <f>+IF(OR($Q268=Parametres!$G$2,$Q268=Parametres!$G$3),I268,C268)</f>
        <v>0</v>
      </c>
      <c r="O268" s="151">
        <f>+IF(OR($Q268=Parametres!$G$2,$Q268=Parametres!$G$3),J268,D268)</f>
        <v>2895.82</v>
      </c>
      <c r="P268" s="151">
        <f>+IF(OR($Q268=Parametres!$G$2,$Q268=Parametres!$G$3),K268,E268)</f>
        <v>2895.82</v>
      </c>
      <c r="Q268" s="150" t="str">
        <f t="shared" si="22"/>
        <v>7-Dépenses</v>
      </c>
      <c r="R268" s="149" t="str">
        <f t="shared" si="23"/>
        <v>20</v>
      </c>
      <c r="S268" s="150" t="str">
        <f t="shared" si="24"/>
        <v>_</v>
      </c>
      <c r="T268" s="152" t="str">
        <f>+VLOOKUP($L268,Data_Validation!$A:$D,1,0)</f>
        <v>20G</v>
      </c>
      <c r="U268" s="152" t="str">
        <f>+VLOOKUP($L268,Data_Validation!$A:$D,3,0)</f>
        <v>Pièces</v>
      </c>
      <c r="V268" s="152" t="str">
        <f>+VLOOKUP($L268,Data_Validation!$A:$D,4,0)</f>
        <v>Salaires propriétaire</v>
      </c>
      <c r="W268" s="152" t="str">
        <f>+VLOOKUP($L268,Data_Validation!$A:$E,5,0)</f>
        <v>$</v>
      </c>
      <c r="X268" s="152">
        <f>+VLOOKUP($L268,Data_Validation!$A:$F,6,0)</f>
        <v>0</v>
      </c>
    </row>
    <row r="269" spans="1:24" ht="15" customHeight="1">
      <c r="A269" s="708" t="s">
        <v>1824</v>
      </c>
      <c r="B269" s="708" t="s">
        <v>961</v>
      </c>
      <c r="C269" s="710">
        <v>0</v>
      </c>
      <c r="D269" s="710">
        <v>10268.969999999999</v>
      </c>
      <c r="E269" s="710">
        <v>10268.969999999999</v>
      </c>
      <c r="F269" s="708" t="s">
        <v>2228</v>
      </c>
      <c r="G269" s="708" t="s">
        <v>2287</v>
      </c>
      <c r="H269" s="664" t="s">
        <v>3000</v>
      </c>
      <c r="I269" s="663"/>
      <c r="J269" s="663"/>
      <c r="K269" s="663"/>
      <c r="L269" s="149" t="str">
        <f t="shared" si="20"/>
        <v>21A</v>
      </c>
      <c r="M269" s="150" t="str">
        <f t="shared" si="21"/>
        <v>SAL. SUPERVISION - NEUF BMW</v>
      </c>
      <c r="N269" s="151">
        <f>+IF(OR($Q269=Parametres!$G$2,$Q269=Parametres!$G$3),I269,C269)</f>
        <v>0</v>
      </c>
      <c r="O269" s="151">
        <f>+IF(OR($Q269=Parametres!$G$2,$Q269=Parametres!$G$3),J269,D269)</f>
        <v>10268.969999999999</v>
      </c>
      <c r="P269" s="151">
        <f>+IF(OR($Q269=Parametres!$G$2,$Q269=Parametres!$G$3),K269,E269)</f>
        <v>10268.969999999999</v>
      </c>
      <c r="Q269" s="150" t="str">
        <f t="shared" si="22"/>
        <v>7-Dépenses</v>
      </c>
      <c r="R269" s="149" t="str">
        <f t="shared" si="23"/>
        <v>21</v>
      </c>
      <c r="S269" s="150" t="str">
        <f t="shared" si="24"/>
        <v>_</v>
      </c>
      <c r="T269" s="152" t="str">
        <f>+VLOOKUP($L269,Data_Validation!$A:$D,1,0)</f>
        <v>21A</v>
      </c>
      <c r="U269" s="152" t="str">
        <f>+VLOOKUP($L269,Data_Validation!$A:$D,3,0)</f>
        <v>Véhicules neufs</v>
      </c>
      <c r="V269" s="152" t="str">
        <f>+VLOOKUP($L269,Data_Validation!$A:$D,4,0)</f>
        <v>Salaires cadres</v>
      </c>
      <c r="W269" s="152" t="str">
        <f>+VLOOKUP($L269,Data_Validation!$A:$E,5,0)</f>
        <v>$</v>
      </c>
      <c r="X269" s="152">
        <f>+VLOOKUP($L269,Data_Validation!$A:$F,6,0)</f>
        <v>0</v>
      </c>
    </row>
    <row r="270" spans="1:24" ht="15" customHeight="1">
      <c r="A270" s="708" t="s">
        <v>1770</v>
      </c>
      <c r="B270" s="708" t="s">
        <v>922</v>
      </c>
      <c r="C270" s="709">
        <v>0</v>
      </c>
      <c r="D270" s="1274">
        <v>3609.65</v>
      </c>
      <c r="E270" s="1274">
        <v>3609.65</v>
      </c>
      <c r="F270" s="708" t="s">
        <v>2228</v>
      </c>
      <c r="G270" s="708" t="s">
        <v>2287</v>
      </c>
      <c r="H270" s="709" t="s">
        <v>3000</v>
      </c>
      <c r="I270" s="710"/>
      <c r="J270" s="710"/>
      <c r="K270" s="710"/>
      <c r="L270" s="149" t="str">
        <f t="shared" si="20"/>
        <v>21C</v>
      </c>
      <c r="M270" s="150" t="str">
        <f t="shared" si="21"/>
        <v>SAL. SUPERVISION - USAGE BMW</v>
      </c>
      <c r="N270" s="151">
        <f>+IF(OR($Q270=Parametres!$G$2,$Q270=Parametres!$G$3),I270,C270)</f>
        <v>0</v>
      </c>
      <c r="O270" s="151">
        <f>+IF(OR($Q270=Parametres!$G$2,$Q270=Parametres!$G$3),J270,D270)</f>
        <v>3609.65</v>
      </c>
      <c r="P270" s="151">
        <f>+IF(OR($Q270=Parametres!$G$2,$Q270=Parametres!$G$3),K270,E270)</f>
        <v>3609.65</v>
      </c>
      <c r="Q270" s="150" t="str">
        <f t="shared" si="22"/>
        <v>7-Dépenses</v>
      </c>
      <c r="R270" s="149" t="str">
        <f t="shared" si="23"/>
        <v>21</v>
      </c>
      <c r="S270" s="150" t="str">
        <f t="shared" si="24"/>
        <v>_</v>
      </c>
      <c r="T270" s="152" t="str">
        <f>+VLOOKUP($L270,Data_Validation!$A:$D,1,0)</f>
        <v>21C</v>
      </c>
      <c r="U270" s="152" t="str">
        <f>+VLOOKUP($L270,Data_Validation!$A:$D,3,0)</f>
        <v>Véhicules usagés</v>
      </c>
      <c r="V270" s="152" t="str">
        <f>+VLOOKUP($L270,Data_Validation!$A:$D,4,0)</f>
        <v>Salaires cadres</v>
      </c>
      <c r="W270" s="152" t="str">
        <f>+VLOOKUP($L270,Data_Validation!$A:$E,5,0)</f>
        <v>$</v>
      </c>
      <c r="X270" s="152">
        <f>+VLOOKUP($L270,Data_Validation!$A:$F,6,0)</f>
        <v>0</v>
      </c>
    </row>
    <row r="271" spans="1:24" ht="15" customHeight="1">
      <c r="A271" s="708" t="s">
        <v>1806</v>
      </c>
      <c r="B271" s="708" t="s">
        <v>950</v>
      </c>
      <c r="C271" s="709">
        <v>0</v>
      </c>
      <c r="D271" s="1274">
        <v>12026.53</v>
      </c>
      <c r="E271" s="1274">
        <v>12026.53</v>
      </c>
      <c r="F271" s="708" t="s">
        <v>2228</v>
      </c>
      <c r="G271" s="708" t="s">
        <v>2287</v>
      </c>
      <c r="H271" s="709" t="s">
        <v>3000</v>
      </c>
      <c r="I271" s="710"/>
      <c r="J271" s="710"/>
      <c r="K271" s="710"/>
      <c r="L271" s="149" t="str">
        <f t="shared" si="20"/>
        <v>21E</v>
      </c>
      <c r="M271" s="150" t="str">
        <f t="shared" si="21"/>
        <v>SAL. SUPERVISION - SERV. BMW</v>
      </c>
      <c r="N271" s="151">
        <f>+IF(OR($Q271=Parametres!$G$2,$Q271=Parametres!$G$3),I271,C271)</f>
        <v>0</v>
      </c>
      <c r="O271" s="151">
        <f>+IF(OR($Q271=Parametres!$G$2,$Q271=Parametres!$G$3),J271,D271)</f>
        <v>12026.53</v>
      </c>
      <c r="P271" s="151">
        <f>+IF(OR($Q271=Parametres!$G$2,$Q271=Parametres!$G$3),K271,E271)</f>
        <v>12026.53</v>
      </c>
      <c r="Q271" s="150" t="str">
        <f t="shared" si="22"/>
        <v>7-Dépenses</v>
      </c>
      <c r="R271" s="149" t="str">
        <f t="shared" si="23"/>
        <v>21</v>
      </c>
      <c r="S271" s="150" t="str">
        <f t="shared" si="24"/>
        <v>_</v>
      </c>
      <c r="T271" s="152" t="str">
        <f>+VLOOKUP($L271,Data_Validation!$A:$D,1,0)</f>
        <v>21E</v>
      </c>
      <c r="U271" s="152" t="str">
        <f>+VLOOKUP($L271,Data_Validation!$A:$D,3,0)</f>
        <v>Service</v>
      </c>
      <c r="V271" s="152" t="str">
        <f>+VLOOKUP($L271,Data_Validation!$A:$D,4,0)</f>
        <v>Salaires cadres</v>
      </c>
      <c r="W271" s="152" t="str">
        <f>+VLOOKUP($L271,Data_Validation!$A:$E,5,0)</f>
        <v>$</v>
      </c>
      <c r="X271" s="152">
        <f>+VLOOKUP($L271,Data_Validation!$A:$F,6,0)</f>
        <v>0</v>
      </c>
    </row>
    <row r="272" spans="1:24" ht="15.75" customHeight="1">
      <c r="A272" s="708" t="s">
        <v>1805</v>
      </c>
      <c r="B272" s="708" t="s">
        <v>938</v>
      </c>
      <c r="C272" s="710">
        <v>0</v>
      </c>
      <c r="D272" s="710">
        <v>4471.09</v>
      </c>
      <c r="E272" s="710">
        <v>4471.09</v>
      </c>
      <c r="F272" s="708" t="s">
        <v>2228</v>
      </c>
      <c r="G272" s="708" t="s">
        <v>2287</v>
      </c>
      <c r="H272" s="664" t="s">
        <v>3000</v>
      </c>
      <c r="I272" s="663"/>
      <c r="J272" s="663"/>
      <c r="K272" s="663"/>
      <c r="L272" s="149" t="str">
        <f t="shared" si="20"/>
        <v>21G</v>
      </c>
      <c r="M272" s="150" t="str">
        <f t="shared" si="21"/>
        <v>SAL. SUPERVISION - PIECE BMW</v>
      </c>
      <c r="N272" s="151">
        <f>+IF(OR($Q272=Parametres!$G$2,$Q272=Parametres!$G$3),I272,C272)</f>
        <v>0</v>
      </c>
      <c r="O272" s="151">
        <f>+IF(OR($Q272=Parametres!$G$2,$Q272=Parametres!$G$3),J272,D272)</f>
        <v>4471.09</v>
      </c>
      <c r="P272" s="151">
        <f>+IF(OR($Q272=Parametres!$G$2,$Q272=Parametres!$G$3),K272,E272)</f>
        <v>4471.09</v>
      </c>
      <c r="Q272" s="150" t="str">
        <f t="shared" si="22"/>
        <v>7-Dépenses</v>
      </c>
      <c r="R272" s="149" t="str">
        <f t="shared" si="23"/>
        <v>21</v>
      </c>
      <c r="S272" s="150" t="str">
        <f t="shared" si="24"/>
        <v>_</v>
      </c>
      <c r="T272" s="152" t="str">
        <f>+VLOOKUP($L272,Data_Validation!$A:$D,1,0)</f>
        <v>21G</v>
      </c>
      <c r="U272" s="152" t="str">
        <f>+VLOOKUP($L272,Data_Validation!$A:$D,3,0)</f>
        <v>Pièces</v>
      </c>
      <c r="V272" s="152" t="str">
        <f>+VLOOKUP($L272,Data_Validation!$A:$D,4,0)</f>
        <v>Salaires cadres</v>
      </c>
      <c r="W272" s="152" t="str">
        <f>+VLOOKUP($L272,Data_Validation!$A:$E,5,0)</f>
        <v>$</v>
      </c>
      <c r="X272" s="152">
        <f>+VLOOKUP($L272,Data_Validation!$A:$F,6,0)</f>
        <v>0</v>
      </c>
    </row>
    <row r="273" spans="1:24" ht="15" customHeight="1">
      <c r="A273" s="708" t="s">
        <v>1791</v>
      </c>
      <c r="B273" s="708" t="s">
        <v>924</v>
      </c>
      <c r="C273" s="709">
        <v>0</v>
      </c>
      <c r="D273" s="1274">
        <v>7244.51</v>
      </c>
      <c r="E273" s="1274">
        <v>7244.51</v>
      </c>
      <c r="F273" s="708" t="s">
        <v>2228</v>
      </c>
      <c r="G273" s="708" t="s">
        <v>2286</v>
      </c>
      <c r="H273" s="709" t="s">
        <v>3000</v>
      </c>
      <c r="I273" s="710"/>
      <c r="J273" s="710"/>
      <c r="K273" s="710"/>
      <c r="L273" s="149" t="str">
        <f t="shared" si="20"/>
        <v>22A</v>
      </c>
      <c r="M273" s="150" t="str">
        <f t="shared" si="21"/>
        <v>SAL. ADMIN. - NEUF BMW</v>
      </c>
      <c r="N273" s="151">
        <f>+IF(OR($Q273=Parametres!$G$2,$Q273=Parametres!$G$3),I273,C273)</f>
        <v>0</v>
      </c>
      <c r="O273" s="151">
        <f>+IF(OR($Q273=Parametres!$G$2,$Q273=Parametres!$G$3),J273,D273)</f>
        <v>7244.51</v>
      </c>
      <c r="P273" s="151">
        <f>+IF(OR($Q273=Parametres!$G$2,$Q273=Parametres!$G$3),K273,E273)</f>
        <v>7244.51</v>
      </c>
      <c r="Q273" s="150" t="str">
        <f t="shared" si="22"/>
        <v>7-Dépenses</v>
      </c>
      <c r="R273" s="149" t="str">
        <f t="shared" si="23"/>
        <v>22</v>
      </c>
      <c r="S273" s="150" t="str">
        <f t="shared" si="24"/>
        <v>_</v>
      </c>
      <c r="T273" s="152" t="str">
        <f>+VLOOKUP($L273,Data_Validation!$A:$D,1,0)</f>
        <v>22A</v>
      </c>
      <c r="U273" s="152" t="str">
        <f>+VLOOKUP($L273,Data_Validation!$A:$D,3,0)</f>
        <v>Véhicules neufs</v>
      </c>
      <c r="V273" s="152" t="str">
        <f>+VLOOKUP($L273,Data_Validation!$A:$D,4,0)</f>
        <v>Salaires commis</v>
      </c>
      <c r="W273" s="152" t="str">
        <f>+VLOOKUP($L273,Data_Validation!$A:$E,5,0)</f>
        <v>$</v>
      </c>
      <c r="X273" s="152">
        <f>+VLOOKUP($L273,Data_Validation!$A:$F,6,0)</f>
        <v>0</v>
      </c>
    </row>
    <row r="274" spans="1:24" ht="15" customHeight="1">
      <c r="A274" s="708" t="s">
        <v>1704</v>
      </c>
      <c r="B274" s="708" t="s">
        <v>861</v>
      </c>
      <c r="C274" s="710">
        <v>0</v>
      </c>
      <c r="D274" s="710">
        <v>2545.37</v>
      </c>
      <c r="E274" s="710">
        <v>2545.37</v>
      </c>
      <c r="F274" s="708" t="s">
        <v>2228</v>
      </c>
      <c r="G274" s="708" t="s">
        <v>2286</v>
      </c>
      <c r="H274" s="664" t="s">
        <v>3000</v>
      </c>
      <c r="I274" s="663"/>
      <c r="J274" s="663"/>
      <c r="K274" s="663"/>
      <c r="L274" s="149" t="str">
        <f t="shared" si="20"/>
        <v>22C</v>
      </c>
      <c r="M274" s="150" t="str">
        <f t="shared" si="21"/>
        <v>SAL. ADMIN. - USAGE BMW</v>
      </c>
      <c r="N274" s="151">
        <f>+IF(OR($Q274=Parametres!$G$2,$Q274=Parametres!$G$3),I274,C274)</f>
        <v>0</v>
      </c>
      <c r="O274" s="151">
        <f>+IF(OR($Q274=Parametres!$G$2,$Q274=Parametres!$G$3),J274,D274)</f>
        <v>2545.37</v>
      </c>
      <c r="P274" s="151">
        <f>+IF(OR($Q274=Parametres!$G$2,$Q274=Parametres!$G$3),K274,E274)</f>
        <v>2545.37</v>
      </c>
      <c r="Q274" s="150" t="str">
        <f t="shared" si="22"/>
        <v>7-Dépenses</v>
      </c>
      <c r="R274" s="149" t="str">
        <f t="shared" si="23"/>
        <v>22</v>
      </c>
      <c r="S274" s="150" t="str">
        <f t="shared" si="24"/>
        <v>_</v>
      </c>
      <c r="T274" s="152" t="str">
        <f>+VLOOKUP($L274,Data_Validation!$A:$D,1,0)</f>
        <v>22C</v>
      </c>
      <c r="U274" s="152" t="str">
        <f>+VLOOKUP($L274,Data_Validation!$A:$D,3,0)</f>
        <v>Véhicules usagés</v>
      </c>
      <c r="V274" s="152" t="str">
        <f>+VLOOKUP($L274,Data_Validation!$A:$D,4,0)</f>
        <v>Salaires commis</v>
      </c>
      <c r="W274" s="152" t="str">
        <f>+VLOOKUP($L274,Data_Validation!$A:$E,5,0)</f>
        <v>$</v>
      </c>
      <c r="X274" s="152">
        <f>+VLOOKUP($L274,Data_Validation!$A:$F,6,0)</f>
        <v>0</v>
      </c>
    </row>
    <row r="275" spans="1:24" ht="15" customHeight="1">
      <c r="A275" s="662" t="s">
        <v>1772</v>
      </c>
      <c r="B275" s="662" t="s">
        <v>921</v>
      </c>
      <c r="C275" s="663">
        <v>0</v>
      </c>
      <c r="D275" s="663">
        <v>2381.37</v>
      </c>
      <c r="E275" s="663">
        <v>2381.37</v>
      </c>
      <c r="F275" s="662" t="s">
        <v>2228</v>
      </c>
      <c r="G275" s="662" t="s">
        <v>2286</v>
      </c>
      <c r="H275" s="657" t="s">
        <v>3000</v>
      </c>
      <c r="I275" s="656"/>
      <c r="J275" s="656"/>
      <c r="K275" s="656"/>
      <c r="L275" s="149" t="str">
        <f t="shared" si="20"/>
        <v>22E</v>
      </c>
      <c r="M275" s="150" t="str">
        <f t="shared" si="21"/>
        <v>SAL. ADMIN. - SERV. BMW</v>
      </c>
      <c r="N275" s="151">
        <f>+IF(OR($Q275=Parametres!$G$2,$Q275=Parametres!$G$3),I275,C275)</f>
        <v>0</v>
      </c>
      <c r="O275" s="151">
        <f>+IF(OR($Q275=Parametres!$G$2,$Q275=Parametres!$G$3),J275,D275)</f>
        <v>2381.37</v>
      </c>
      <c r="P275" s="151">
        <f>+IF(OR($Q275=Parametres!$G$2,$Q275=Parametres!$G$3),K275,E275)</f>
        <v>2381.37</v>
      </c>
      <c r="Q275" s="150" t="str">
        <f t="shared" si="22"/>
        <v>7-Dépenses</v>
      </c>
      <c r="R275" s="149" t="str">
        <f t="shared" si="23"/>
        <v>22</v>
      </c>
      <c r="S275" s="150" t="str">
        <f t="shared" si="24"/>
        <v>_</v>
      </c>
      <c r="T275" s="152" t="str">
        <f>+VLOOKUP($L275,Data_Validation!$A:$D,1,0)</f>
        <v>22E</v>
      </c>
      <c r="U275" s="152" t="str">
        <f>+VLOOKUP($L275,Data_Validation!$A:$D,3,0)</f>
        <v>Service</v>
      </c>
      <c r="V275" s="152" t="str">
        <f>+VLOOKUP($L275,Data_Validation!$A:$D,4,0)</f>
        <v>Salaires commis</v>
      </c>
      <c r="W275" s="152" t="str">
        <f>+VLOOKUP($L275,Data_Validation!$A:$E,5,0)</f>
        <v>$</v>
      </c>
      <c r="X275" s="152">
        <f>+VLOOKUP($L275,Data_Validation!$A:$F,6,0)</f>
        <v>0</v>
      </c>
    </row>
    <row r="276" spans="1:24" ht="15" customHeight="1">
      <c r="A276" s="708" t="s">
        <v>1743</v>
      </c>
      <c r="B276" s="708" t="s">
        <v>906</v>
      </c>
      <c r="C276" s="710">
        <v>0</v>
      </c>
      <c r="D276" s="710">
        <v>1905.07</v>
      </c>
      <c r="E276" s="710">
        <v>1905.07</v>
      </c>
      <c r="F276" s="708" t="s">
        <v>2228</v>
      </c>
      <c r="G276" s="708" t="s">
        <v>2286</v>
      </c>
      <c r="H276" s="664" t="s">
        <v>3000</v>
      </c>
      <c r="I276" s="663"/>
      <c r="J276" s="663"/>
      <c r="K276" s="663"/>
      <c r="L276" s="149" t="str">
        <f t="shared" si="20"/>
        <v>22G</v>
      </c>
      <c r="M276" s="150" t="str">
        <f t="shared" si="21"/>
        <v>SAL. ADMIN. - PIECE BMW</v>
      </c>
      <c r="N276" s="151">
        <f>+IF(OR($Q276=Parametres!$G$2,$Q276=Parametres!$G$3),I276,C276)</f>
        <v>0</v>
      </c>
      <c r="O276" s="151">
        <f>+IF(OR($Q276=Parametres!$G$2,$Q276=Parametres!$G$3),J276,D276)</f>
        <v>1905.07</v>
      </c>
      <c r="P276" s="151">
        <f>+IF(OR($Q276=Parametres!$G$2,$Q276=Parametres!$G$3),K276,E276)</f>
        <v>1905.07</v>
      </c>
      <c r="Q276" s="150" t="str">
        <f t="shared" si="22"/>
        <v>7-Dépenses</v>
      </c>
      <c r="R276" s="149" t="str">
        <f t="shared" si="23"/>
        <v>22</v>
      </c>
      <c r="S276" s="150" t="str">
        <f t="shared" si="24"/>
        <v>_</v>
      </c>
      <c r="T276" s="152" t="str">
        <f>+VLOOKUP($L276,Data_Validation!$A:$D,1,0)</f>
        <v>22G</v>
      </c>
      <c r="U276" s="152" t="str">
        <f>+VLOOKUP($L276,Data_Validation!$A:$D,3,0)</f>
        <v>Pièces</v>
      </c>
      <c r="V276" s="152" t="str">
        <f>+VLOOKUP($L276,Data_Validation!$A:$D,4,0)</f>
        <v>Salaires commis</v>
      </c>
      <c r="W276" s="152" t="str">
        <f>+VLOOKUP($L276,Data_Validation!$A:$E,5,0)</f>
        <v>$</v>
      </c>
      <c r="X276" s="152">
        <f>+VLOOKUP($L276,Data_Validation!$A:$F,6,0)</f>
        <v>0</v>
      </c>
    </row>
    <row r="277" spans="1:24" ht="15" customHeight="1">
      <c r="A277" s="662" t="s">
        <v>1215</v>
      </c>
      <c r="B277" s="662" t="s">
        <v>949</v>
      </c>
      <c r="C277" s="663">
        <v>0</v>
      </c>
      <c r="D277" s="663">
        <v>5793.79</v>
      </c>
      <c r="E277" s="663">
        <v>5793.79</v>
      </c>
      <c r="F277" s="662" t="s">
        <v>2228</v>
      </c>
      <c r="G277" s="662" t="s">
        <v>2268</v>
      </c>
      <c r="H277" s="657" t="s">
        <v>3000</v>
      </c>
      <c r="I277" s="656"/>
      <c r="J277" s="656"/>
      <c r="K277" s="656"/>
      <c r="L277" s="149" t="str">
        <f t="shared" si="20"/>
        <v>23E</v>
      </c>
      <c r="M277" s="150" t="str">
        <f t="shared" si="21"/>
        <v>SAL. AUTRES - SERV. BMW</v>
      </c>
      <c r="N277" s="151">
        <f>+IF(OR($Q277=Parametres!$G$2,$Q277=Parametres!$G$3),I277,C277)</f>
        <v>0</v>
      </c>
      <c r="O277" s="151">
        <f>+IF(OR($Q277=Parametres!$G$2,$Q277=Parametres!$G$3),J277,D277)</f>
        <v>5793.79</v>
      </c>
      <c r="P277" s="151">
        <f>+IF(OR($Q277=Parametres!$G$2,$Q277=Parametres!$G$3),K277,E277)</f>
        <v>5793.79</v>
      </c>
      <c r="Q277" s="150" t="str">
        <f t="shared" si="22"/>
        <v>7-Dépenses</v>
      </c>
      <c r="R277" s="149" t="str">
        <f t="shared" si="23"/>
        <v>23</v>
      </c>
      <c r="S277" s="150" t="str">
        <f t="shared" si="24"/>
        <v>_</v>
      </c>
      <c r="T277" s="152" t="str">
        <f>+VLOOKUP($L277,Data_Validation!$A:$D,1,0)</f>
        <v>23E</v>
      </c>
      <c r="U277" s="152" t="str">
        <f>+VLOOKUP($L277,Data_Validation!$A:$D,3,0)</f>
        <v>Service</v>
      </c>
      <c r="V277" s="152" t="str">
        <f>+VLOOKUP($L277,Data_Validation!$A:$D,4,0)</f>
        <v>salaires autres</v>
      </c>
      <c r="W277" s="152" t="str">
        <f>+VLOOKUP($L277,Data_Validation!$A:$E,5,0)</f>
        <v>$</v>
      </c>
      <c r="X277" s="152">
        <f>+VLOOKUP($L277,Data_Validation!$A:$F,6,0)</f>
        <v>0</v>
      </c>
    </row>
    <row r="278" spans="1:24" ht="15" customHeight="1">
      <c r="A278" s="662" t="s">
        <v>1740</v>
      </c>
      <c r="B278" s="662" t="s">
        <v>962</v>
      </c>
      <c r="C278" s="663">
        <v>0</v>
      </c>
      <c r="D278" s="663">
        <v>13628.92</v>
      </c>
      <c r="E278" s="663">
        <v>13628.92</v>
      </c>
      <c r="F278" s="662" t="s">
        <v>2228</v>
      </c>
      <c r="G278" s="662" t="s">
        <v>2268</v>
      </c>
      <c r="H278" s="657" t="s">
        <v>3000</v>
      </c>
      <c r="I278" s="656"/>
      <c r="J278" s="656"/>
      <c r="K278" s="656"/>
      <c r="L278" s="149" t="str">
        <f t="shared" si="20"/>
        <v>23G</v>
      </c>
      <c r="M278" s="150" t="str">
        <f t="shared" si="21"/>
        <v>SAL. AUTRES - PIECE BMW</v>
      </c>
      <c r="N278" s="151">
        <f>+IF(OR($Q278=Parametres!$G$2,$Q278=Parametres!$G$3),I278,C278)</f>
        <v>0</v>
      </c>
      <c r="O278" s="151">
        <f>+IF(OR($Q278=Parametres!$G$2,$Q278=Parametres!$G$3),J278,D278)</f>
        <v>13628.92</v>
      </c>
      <c r="P278" s="151">
        <f>+IF(OR($Q278=Parametres!$G$2,$Q278=Parametres!$G$3),K278,E278)</f>
        <v>13628.92</v>
      </c>
      <c r="Q278" s="150" t="str">
        <f t="shared" si="22"/>
        <v>7-Dépenses</v>
      </c>
      <c r="R278" s="149" t="str">
        <f t="shared" si="23"/>
        <v>23</v>
      </c>
      <c r="S278" s="150" t="str">
        <f t="shared" si="24"/>
        <v>_</v>
      </c>
      <c r="T278" s="152" t="str">
        <f>+VLOOKUP($L278,Data_Validation!$A:$D,1,0)</f>
        <v>23G</v>
      </c>
      <c r="U278" s="152" t="str">
        <f>+VLOOKUP($L278,Data_Validation!$A:$D,3,0)</f>
        <v>Pièces</v>
      </c>
      <c r="V278" s="152" t="str">
        <f>+VLOOKUP($L278,Data_Validation!$A:$D,4,0)</f>
        <v>salaires autres</v>
      </c>
      <c r="W278" s="152" t="str">
        <f>+VLOOKUP($L278,Data_Validation!$A:$E,5,0)</f>
        <v>$</v>
      </c>
      <c r="X278" s="152">
        <f>+VLOOKUP($L278,Data_Validation!$A:$F,6,0)</f>
        <v>0</v>
      </c>
    </row>
    <row r="279" spans="1:24" ht="15.75" customHeight="1">
      <c r="A279" s="708" t="s">
        <v>1703</v>
      </c>
      <c r="B279" s="708" t="s">
        <v>918</v>
      </c>
      <c r="C279" s="710">
        <v>0</v>
      </c>
      <c r="D279" s="710">
        <v>179.64</v>
      </c>
      <c r="E279" s="710">
        <v>179.64</v>
      </c>
      <c r="F279" s="708" t="s">
        <v>2228</v>
      </c>
      <c r="G279" s="708" t="s">
        <v>2276</v>
      </c>
      <c r="H279" s="657" t="s">
        <v>3000</v>
      </c>
      <c r="I279" s="656"/>
      <c r="J279" s="656"/>
      <c r="K279" s="656"/>
      <c r="L279" s="149" t="str">
        <f t="shared" si="20"/>
        <v>24A</v>
      </c>
      <c r="M279" s="150" t="str">
        <f t="shared" si="21"/>
        <v>SAL. ABSENCE - NEUF BMW</v>
      </c>
      <c r="N279" s="151">
        <f>+IF(OR($Q279=Parametres!$G$2,$Q279=Parametres!$G$3),I279,C279)</f>
        <v>0</v>
      </c>
      <c r="O279" s="151">
        <f>+IF(OR($Q279=Parametres!$G$2,$Q279=Parametres!$G$3),J279,D279)</f>
        <v>179.64</v>
      </c>
      <c r="P279" s="151">
        <f>+IF(OR($Q279=Parametres!$G$2,$Q279=Parametres!$G$3),K279,E279)</f>
        <v>179.64</v>
      </c>
      <c r="Q279" s="150" t="str">
        <f t="shared" si="22"/>
        <v>7-Dépenses</v>
      </c>
      <c r="R279" s="149" t="str">
        <f t="shared" si="23"/>
        <v>24</v>
      </c>
      <c r="S279" s="150" t="str">
        <f t="shared" si="24"/>
        <v>_</v>
      </c>
      <c r="T279" s="152" t="str">
        <f>+VLOOKUP($L279,Data_Validation!$A:$D,1,0)</f>
        <v>24A</v>
      </c>
      <c r="U279" s="152" t="str">
        <f>+VLOOKUP($L279,Data_Validation!$A:$D,3,0)</f>
        <v>Véhicules neufs</v>
      </c>
      <c r="V279" s="152" t="str">
        <f>+VLOOKUP($L279,Data_Validation!$A:$D,4,0)</f>
        <v>Salaires en absences</v>
      </c>
      <c r="W279" s="152" t="str">
        <f>+VLOOKUP($L279,Data_Validation!$A:$E,5,0)</f>
        <v>$</v>
      </c>
      <c r="X279" s="152">
        <f>+VLOOKUP($L279,Data_Validation!$A:$F,6,0)</f>
        <v>0</v>
      </c>
    </row>
    <row r="280" spans="1:24" ht="15" customHeight="1">
      <c r="A280" s="708" t="s">
        <v>1212</v>
      </c>
      <c r="B280" s="708" t="s">
        <v>858</v>
      </c>
      <c r="C280" s="710">
        <v>0</v>
      </c>
      <c r="D280" s="710">
        <v>2055.12</v>
      </c>
      <c r="E280" s="710">
        <v>2055.12</v>
      </c>
      <c r="F280" s="708" t="s">
        <v>2228</v>
      </c>
      <c r="G280" s="708" t="s">
        <v>2276</v>
      </c>
      <c r="H280" s="602" t="s">
        <v>3000</v>
      </c>
      <c r="I280" s="601"/>
      <c r="J280" s="601"/>
      <c r="K280" s="601"/>
      <c r="L280" s="149" t="str">
        <f t="shared" si="20"/>
        <v>24C</v>
      </c>
      <c r="M280" s="150" t="str">
        <f t="shared" si="21"/>
        <v>SAL. ABSENCE - USAGE BMW</v>
      </c>
      <c r="N280" s="151">
        <f>+IF(OR($Q280=Parametres!$G$2,$Q280=Parametres!$G$3),I280,C280)</f>
        <v>0</v>
      </c>
      <c r="O280" s="151">
        <f>+IF(OR($Q280=Parametres!$G$2,$Q280=Parametres!$G$3),J280,D280)</f>
        <v>2055.12</v>
      </c>
      <c r="P280" s="151">
        <f>+IF(OR($Q280=Parametres!$G$2,$Q280=Parametres!$G$3),K280,E280)</f>
        <v>2055.12</v>
      </c>
      <c r="Q280" s="150" t="str">
        <f t="shared" si="22"/>
        <v>7-Dépenses</v>
      </c>
      <c r="R280" s="149" t="str">
        <f t="shared" si="23"/>
        <v>24</v>
      </c>
      <c r="S280" s="150" t="str">
        <f t="shared" si="24"/>
        <v>_</v>
      </c>
      <c r="T280" s="152" t="str">
        <f>+VLOOKUP($L280,Data_Validation!$A:$D,1,0)</f>
        <v>24C</v>
      </c>
      <c r="U280" s="152" t="str">
        <f>+VLOOKUP($L280,Data_Validation!$A:$D,3,0)</f>
        <v>Véhicules usagés</v>
      </c>
      <c r="V280" s="152" t="str">
        <f>+VLOOKUP($L280,Data_Validation!$A:$D,4,0)</f>
        <v>Salaires en absences</v>
      </c>
      <c r="W280" s="152" t="str">
        <f>+VLOOKUP($L280,Data_Validation!$A:$E,5,0)</f>
        <v>$</v>
      </c>
      <c r="X280" s="152">
        <f>+VLOOKUP($L280,Data_Validation!$A:$F,6,0)</f>
        <v>0</v>
      </c>
    </row>
    <row r="281" spans="1:24" ht="15" customHeight="1">
      <c r="A281" s="708" t="s">
        <v>1742</v>
      </c>
      <c r="B281" s="708" t="s">
        <v>952</v>
      </c>
      <c r="C281" s="710">
        <v>0</v>
      </c>
      <c r="D281" s="710">
        <v>11652.52</v>
      </c>
      <c r="E281" s="710">
        <v>11652.52</v>
      </c>
      <c r="F281" s="708" t="s">
        <v>2228</v>
      </c>
      <c r="G281" s="708" t="s">
        <v>2276</v>
      </c>
      <c r="H281" s="664" t="s">
        <v>3000</v>
      </c>
      <c r="I281" s="663"/>
      <c r="J281" s="663"/>
      <c r="K281" s="663"/>
      <c r="L281" s="149" t="str">
        <f t="shared" si="20"/>
        <v>24E</v>
      </c>
      <c r="M281" s="150" t="str">
        <f t="shared" si="21"/>
        <v>SAL. ABSENCE - SERV. BMW</v>
      </c>
      <c r="N281" s="151">
        <f>+IF(OR($Q281=Parametres!$G$2,$Q281=Parametres!$G$3),I281,C281)</f>
        <v>0</v>
      </c>
      <c r="O281" s="151">
        <f>+IF(OR($Q281=Parametres!$G$2,$Q281=Parametres!$G$3),J281,D281)</f>
        <v>11652.52</v>
      </c>
      <c r="P281" s="151">
        <f>+IF(OR($Q281=Parametres!$G$2,$Q281=Parametres!$G$3),K281,E281)</f>
        <v>11652.52</v>
      </c>
      <c r="Q281" s="150" t="str">
        <f t="shared" si="22"/>
        <v>7-Dépenses</v>
      </c>
      <c r="R281" s="149" t="str">
        <f t="shared" si="23"/>
        <v>24</v>
      </c>
      <c r="S281" s="150" t="str">
        <f t="shared" si="24"/>
        <v>_</v>
      </c>
      <c r="T281" s="152" t="str">
        <f>+VLOOKUP($L281,Data_Validation!$A:$D,1,0)</f>
        <v>24E</v>
      </c>
      <c r="U281" s="152" t="str">
        <f>+VLOOKUP($L281,Data_Validation!$A:$D,3,0)</f>
        <v>Service</v>
      </c>
      <c r="V281" s="152" t="str">
        <f>+VLOOKUP($L281,Data_Validation!$A:$D,4,0)</f>
        <v>Salaires en absences</v>
      </c>
      <c r="W281" s="152" t="str">
        <f>+VLOOKUP($L281,Data_Validation!$A:$E,5,0)</f>
        <v>$</v>
      </c>
      <c r="X281" s="152">
        <f>+VLOOKUP($L281,Data_Validation!$A:$F,6,0)</f>
        <v>0</v>
      </c>
    </row>
    <row r="282" spans="1:24" ht="15" customHeight="1">
      <c r="A282" s="708" t="s">
        <v>1218</v>
      </c>
      <c r="B282" s="708" t="s">
        <v>900</v>
      </c>
      <c r="C282" s="710">
        <v>0</v>
      </c>
      <c r="D282" s="710">
        <v>-358.94</v>
      </c>
      <c r="E282" s="710">
        <v>-358.94</v>
      </c>
      <c r="F282" s="708" t="s">
        <v>2228</v>
      </c>
      <c r="G282" s="708" t="s">
        <v>2276</v>
      </c>
      <c r="H282" s="664" t="s">
        <v>3000</v>
      </c>
      <c r="I282" s="663"/>
      <c r="J282" s="663"/>
      <c r="K282" s="663"/>
      <c r="L282" s="149" t="str">
        <f t="shared" si="20"/>
        <v>24G</v>
      </c>
      <c r="M282" s="150" t="str">
        <f t="shared" si="21"/>
        <v>SAL. ABSENCE - PIECE BMW</v>
      </c>
      <c r="N282" s="151">
        <f>+IF(OR($Q282=Parametres!$G$2,$Q282=Parametres!$G$3),I282,C282)</f>
        <v>0</v>
      </c>
      <c r="O282" s="151">
        <f>+IF(OR($Q282=Parametres!$G$2,$Q282=Parametres!$G$3),J282,D282)</f>
        <v>-358.94</v>
      </c>
      <c r="P282" s="151">
        <f>+IF(OR($Q282=Parametres!$G$2,$Q282=Parametres!$G$3),K282,E282)</f>
        <v>-358.94</v>
      </c>
      <c r="Q282" s="150" t="str">
        <f t="shared" si="22"/>
        <v>7-Dépenses</v>
      </c>
      <c r="R282" s="149" t="str">
        <f t="shared" si="23"/>
        <v>24</v>
      </c>
      <c r="S282" s="150" t="str">
        <f t="shared" si="24"/>
        <v>_</v>
      </c>
      <c r="T282" s="152" t="str">
        <f>+VLOOKUP($L282,Data_Validation!$A:$D,1,0)</f>
        <v>24G</v>
      </c>
      <c r="U282" s="152" t="str">
        <f>+VLOOKUP($L282,Data_Validation!$A:$D,3,0)</f>
        <v>Pièces</v>
      </c>
      <c r="V282" s="152" t="str">
        <f>+VLOOKUP($L282,Data_Validation!$A:$D,4,0)</f>
        <v>Salaires en absences</v>
      </c>
      <c r="W282" s="152" t="str">
        <f>+VLOOKUP($L282,Data_Validation!$A:$E,5,0)</f>
        <v>$</v>
      </c>
      <c r="X282" s="152">
        <f>+VLOOKUP($L282,Data_Validation!$A:$F,6,0)</f>
        <v>0</v>
      </c>
    </row>
    <row r="283" spans="1:24" ht="15.75" customHeight="1">
      <c r="A283" s="708" t="s">
        <v>1793</v>
      </c>
      <c r="B283" s="708" t="s">
        <v>951</v>
      </c>
      <c r="C283" s="710">
        <v>0</v>
      </c>
      <c r="D283" s="710">
        <v>6796.55</v>
      </c>
      <c r="E283" s="710">
        <v>6796.55</v>
      </c>
      <c r="F283" s="708" t="s">
        <v>2228</v>
      </c>
      <c r="G283" s="708" t="s">
        <v>2279</v>
      </c>
      <c r="H283" s="664" t="s">
        <v>3000</v>
      </c>
      <c r="I283" s="663"/>
      <c r="J283" s="663"/>
      <c r="K283" s="663"/>
      <c r="L283" s="149" t="str">
        <f t="shared" si="20"/>
        <v>25A</v>
      </c>
      <c r="M283" s="150" t="str">
        <f t="shared" si="21"/>
        <v>TAXES PAYE - NEUF BMW</v>
      </c>
      <c r="N283" s="151">
        <f>+IF(OR($Q283=Parametres!$G$2,$Q283=Parametres!$G$3),I283,C283)</f>
        <v>0</v>
      </c>
      <c r="O283" s="151">
        <f>+IF(OR($Q283=Parametres!$G$2,$Q283=Parametres!$G$3),J283,D283)</f>
        <v>6796.55</v>
      </c>
      <c r="P283" s="151">
        <f>+IF(OR($Q283=Parametres!$G$2,$Q283=Parametres!$G$3),K283,E283)</f>
        <v>6796.55</v>
      </c>
      <c r="Q283" s="150" t="str">
        <f t="shared" si="22"/>
        <v>7-Dépenses</v>
      </c>
      <c r="R283" s="149" t="str">
        <f t="shared" si="23"/>
        <v>25</v>
      </c>
      <c r="S283" s="150" t="str">
        <f t="shared" si="24"/>
        <v>_</v>
      </c>
      <c r="T283" s="152" t="str">
        <f>+VLOOKUP($L283,Data_Validation!$A:$D,1,0)</f>
        <v>25A</v>
      </c>
      <c r="U283" s="152" t="str">
        <f>+VLOOKUP($L283,Data_Validation!$A:$D,3,0)</f>
        <v>Véhicules neufs</v>
      </c>
      <c r="V283" s="152" t="str">
        <f>+VLOOKUP($L283,Data_Validation!$A:$D,4,0)</f>
        <v>Déduction à la source</v>
      </c>
      <c r="W283" s="152" t="str">
        <f>+VLOOKUP($L283,Data_Validation!$A:$E,5,0)</f>
        <v>$</v>
      </c>
      <c r="X283" s="152">
        <f>+VLOOKUP($L283,Data_Validation!$A:$F,6,0)</f>
        <v>0</v>
      </c>
    </row>
    <row r="284" spans="1:24" ht="15" customHeight="1">
      <c r="A284" s="708" t="s">
        <v>1709</v>
      </c>
      <c r="B284" s="708" t="s">
        <v>883</v>
      </c>
      <c r="C284" s="710">
        <v>0</v>
      </c>
      <c r="D284" s="710">
        <v>2387.29</v>
      </c>
      <c r="E284" s="710">
        <v>2387.29</v>
      </c>
      <c r="F284" s="708" t="s">
        <v>2228</v>
      </c>
      <c r="G284" s="708" t="s">
        <v>2279</v>
      </c>
      <c r="H284" s="664" t="s">
        <v>3000</v>
      </c>
      <c r="I284" s="663"/>
      <c r="J284" s="663"/>
      <c r="K284" s="663"/>
      <c r="L284" s="149" t="str">
        <f t="shared" si="20"/>
        <v>25C</v>
      </c>
      <c r="M284" s="150" t="str">
        <f t="shared" si="21"/>
        <v>TAXES PAYE - USAGE BMW</v>
      </c>
      <c r="N284" s="151">
        <f>+IF(OR($Q284=Parametres!$G$2,$Q284=Parametres!$G$3),I284,C284)</f>
        <v>0</v>
      </c>
      <c r="O284" s="151">
        <f>+IF(OR($Q284=Parametres!$G$2,$Q284=Parametres!$G$3),J284,D284)</f>
        <v>2387.29</v>
      </c>
      <c r="P284" s="151">
        <f>+IF(OR($Q284=Parametres!$G$2,$Q284=Parametres!$G$3),K284,E284)</f>
        <v>2387.29</v>
      </c>
      <c r="Q284" s="150" t="str">
        <f t="shared" si="22"/>
        <v>7-Dépenses</v>
      </c>
      <c r="R284" s="149" t="str">
        <f t="shared" si="23"/>
        <v>25</v>
      </c>
      <c r="S284" s="150" t="str">
        <f t="shared" si="24"/>
        <v>_</v>
      </c>
      <c r="T284" s="152" t="str">
        <f>+VLOOKUP($L284,Data_Validation!$A:$D,1,0)</f>
        <v>25C</v>
      </c>
      <c r="U284" s="152" t="str">
        <f>+VLOOKUP($L284,Data_Validation!$A:$D,3,0)</f>
        <v>Véhicules usagés</v>
      </c>
      <c r="V284" s="152" t="str">
        <f>+VLOOKUP($L284,Data_Validation!$A:$D,4,0)</f>
        <v>Déduction à la source</v>
      </c>
      <c r="W284" s="152" t="str">
        <f>+VLOOKUP($L284,Data_Validation!$A:$E,5,0)</f>
        <v>$</v>
      </c>
      <c r="X284" s="152">
        <f>+VLOOKUP($L284,Data_Validation!$A:$F,6,0)</f>
        <v>0</v>
      </c>
    </row>
    <row r="285" spans="1:24" ht="15" customHeight="1">
      <c r="A285" s="708" t="s">
        <v>1757</v>
      </c>
      <c r="B285" s="708" t="s">
        <v>947</v>
      </c>
      <c r="C285" s="710">
        <v>0</v>
      </c>
      <c r="D285" s="710">
        <v>11409.93</v>
      </c>
      <c r="E285" s="710">
        <v>11409.93</v>
      </c>
      <c r="F285" s="708" t="s">
        <v>2228</v>
      </c>
      <c r="G285" s="708" t="s">
        <v>2279</v>
      </c>
      <c r="H285" s="664" t="s">
        <v>3000</v>
      </c>
      <c r="I285" s="663"/>
      <c r="J285" s="663"/>
      <c r="K285" s="663"/>
      <c r="L285" s="149" t="str">
        <f t="shared" si="20"/>
        <v>25E</v>
      </c>
      <c r="M285" s="150" t="str">
        <f t="shared" si="21"/>
        <v>TAXES PAYE - SERV. BMW</v>
      </c>
      <c r="N285" s="151">
        <f>+IF(OR($Q285=Parametres!$G$2,$Q285=Parametres!$G$3),I285,C285)</f>
        <v>0</v>
      </c>
      <c r="O285" s="151">
        <f>+IF(OR($Q285=Parametres!$G$2,$Q285=Parametres!$G$3),J285,D285)</f>
        <v>11409.93</v>
      </c>
      <c r="P285" s="151">
        <f>+IF(OR($Q285=Parametres!$G$2,$Q285=Parametres!$G$3),K285,E285)</f>
        <v>11409.93</v>
      </c>
      <c r="Q285" s="150" t="str">
        <f t="shared" si="22"/>
        <v>7-Dépenses</v>
      </c>
      <c r="R285" s="149" t="str">
        <f t="shared" si="23"/>
        <v>25</v>
      </c>
      <c r="S285" s="150" t="str">
        <f t="shared" si="24"/>
        <v>_</v>
      </c>
      <c r="T285" s="152" t="str">
        <f>+VLOOKUP($L285,Data_Validation!$A:$D,1,0)</f>
        <v>25E</v>
      </c>
      <c r="U285" s="152" t="str">
        <f>+VLOOKUP($L285,Data_Validation!$A:$D,3,0)</f>
        <v>Service</v>
      </c>
      <c r="V285" s="152" t="str">
        <f>+VLOOKUP($L285,Data_Validation!$A:$D,4,0)</f>
        <v>Déduction à la source</v>
      </c>
      <c r="W285" s="152" t="str">
        <f>+VLOOKUP($L285,Data_Validation!$A:$E,5,0)</f>
        <v>$</v>
      </c>
      <c r="X285" s="152">
        <f>+VLOOKUP($L285,Data_Validation!$A:$F,6,0)</f>
        <v>0</v>
      </c>
    </row>
    <row r="286" spans="1:24" ht="15" customHeight="1">
      <c r="A286" s="708" t="s">
        <v>1745</v>
      </c>
      <c r="B286" s="708" t="s">
        <v>902</v>
      </c>
      <c r="C286" s="710">
        <v>0</v>
      </c>
      <c r="D286" s="710">
        <v>3529.86</v>
      </c>
      <c r="E286" s="710">
        <v>3529.86</v>
      </c>
      <c r="F286" s="708" t="s">
        <v>2228</v>
      </c>
      <c r="G286" s="708" t="s">
        <v>2279</v>
      </c>
      <c r="H286" s="664" t="s">
        <v>3000</v>
      </c>
      <c r="I286" s="663"/>
      <c r="J286" s="663"/>
      <c r="K286" s="663"/>
      <c r="L286" s="149" t="str">
        <f t="shared" si="20"/>
        <v>25G</v>
      </c>
      <c r="M286" s="150" t="str">
        <f t="shared" si="21"/>
        <v>TAXES PAYE - PIECE BMW</v>
      </c>
      <c r="N286" s="151">
        <f>+IF(OR($Q286=Parametres!$G$2,$Q286=Parametres!$G$3),I286,C286)</f>
        <v>0</v>
      </c>
      <c r="O286" s="151">
        <f>+IF(OR($Q286=Parametres!$G$2,$Q286=Parametres!$G$3),J286,D286)</f>
        <v>3529.86</v>
      </c>
      <c r="P286" s="151">
        <f>+IF(OR($Q286=Parametres!$G$2,$Q286=Parametres!$G$3),K286,E286)</f>
        <v>3529.86</v>
      </c>
      <c r="Q286" s="150" t="str">
        <f t="shared" si="22"/>
        <v>7-Dépenses</v>
      </c>
      <c r="R286" s="149" t="str">
        <f t="shared" si="23"/>
        <v>25</v>
      </c>
      <c r="S286" s="150" t="str">
        <f t="shared" si="24"/>
        <v>_</v>
      </c>
      <c r="T286" s="152" t="str">
        <f>+VLOOKUP($L286,Data_Validation!$A:$D,1,0)</f>
        <v>25G</v>
      </c>
      <c r="U286" s="152" t="str">
        <f>+VLOOKUP($L286,Data_Validation!$A:$D,3,0)</f>
        <v>Pièces</v>
      </c>
      <c r="V286" s="152" t="str">
        <f>+VLOOKUP($L286,Data_Validation!$A:$D,4,0)</f>
        <v>Déduction à la source</v>
      </c>
      <c r="W286" s="152" t="str">
        <f>+VLOOKUP($L286,Data_Validation!$A:$E,5,0)</f>
        <v>$</v>
      </c>
      <c r="X286" s="152">
        <f>+VLOOKUP($L286,Data_Validation!$A:$F,6,0)</f>
        <v>0</v>
      </c>
    </row>
    <row r="287" spans="1:24" ht="15.75" customHeight="1">
      <c r="A287" s="708" t="s">
        <v>1781</v>
      </c>
      <c r="B287" s="708" t="s">
        <v>955</v>
      </c>
      <c r="C287" s="710">
        <v>0</v>
      </c>
      <c r="D287" s="710">
        <v>12308.67</v>
      </c>
      <c r="E287" s="710">
        <v>12308.67</v>
      </c>
      <c r="F287" s="708" t="s">
        <v>2228</v>
      </c>
      <c r="G287" s="708" t="s">
        <v>2294</v>
      </c>
      <c r="H287" s="664" t="s">
        <v>3000</v>
      </c>
      <c r="I287" s="664"/>
      <c r="J287" s="664"/>
      <c r="K287" s="664"/>
      <c r="L287" s="149" t="str">
        <f t="shared" si="20"/>
        <v>26E</v>
      </c>
      <c r="M287" s="501" t="str">
        <f t="shared" si="21"/>
        <v>SAL. SPECIALISTES - SERV. BMW</v>
      </c>
      <c r="N287" s="151">
        <f>+IF(OR($Q287=Parametres!$G$2,$Q287=Parametres!$G$3),I287,C287)</f>
        <v>0</v>
      </c>
      <c r="O287" s="502">
        <f>+IF(OR($Q287=Parametres!$G$2,$Q287=Parametres!$G$3),J287,D287)</f>
        <v>12308.67</v>
      </c>
      <c r="P287" s="503">
        <f>+IF(OR($Q287=Parametres!$G$2,$Q287=Parametres!$G$3),K287,E287)</f>
        <v>12308.67</v>
      </c>
      <c r="Q287" s="150" t="str">
        <f t="shared" si="22"/>
        <v>7-Dépenses</v>
      </c>
      <c r="R287" s="149" t="str">
        <f t="shared" si="23"/>
        <v>26</v>
      </c>
      <c r="S287" s="150" t="str">
        <f t="shared" si="24"/>
        <v>_</v>
      </c>
      <c r="T287" s="152" t="str">
        <f>+VLOOKUP($L287,Data_Validation!$A:$D,1,0)</f>
        <v>26E</v>
      </c>
      <c r="U287" s="152" t="str">
        <f>+VLOOKUP($L287,Data_Validation!$A:$D,3,0)</f>
        <v>Service</v>
      </c>
      <c r="V287" s="152" t="str">
        <f>+VLOOKUP($L287,Data_Validation!$A:$D,4,0)</f>
        <v>Salaires spécialistes</v>
      </c>
      <c r="W287" s="152" t="str">
        <f>+VLOOKUP($L287,Data_Validation!$A:$E,5,0)</f>
        <v>$</v>
      </c>
      <c r="X287" s="152">
        <f>+VLOOKUP($L287,Data_Validation!$A:$F,6,0)</f>
        <v>0</v>
      </c>
    </row>
    <row r="288" spans="1:24" ht="15" customHeight="1">
      <c r="A288" s="662" t="s">
        <v>1795</v>
      </c>
      <c r="B288" s="662" t="s">
        <v>914</v>
      </c>
      <c r="C288" s="663">
        <v>0</v>
      </c>
      <c r="D288" s="663">
        <v>3722.69</v>
      </c>
      <c r="E288" s="663">
        <v>3722.69</v>
      </c>
      <c r="F288" s="662" t="s">
        <v>2228</v>
      </c>
      <c r="G288" s="662" t="s">
        <v>2273</v>
      </c>
      <c r="H288" s="657" t="s">
        <v>3000</v>
      </c>
      <c r="I288" s="656"/>
      <c r="J288" s="656"/>
      <c r="K288" s="656"/>
      <c r="L288" s="149" t="str">
        <f t="shared" si="20"/>
        <v>27A</v>
      </c>
      <c r="M288" s="150" t="str">
        <f t="shared" si="21"/>
        <v>AVANT. SOCIAUX - NEUF BMW</v>
      </c>
      <c r="N288" s="151">
        <f>+IF(OR($Q288=Parametres!$G$2,$Q288=Parametres!$G$3),I288,C288)</f>
        <v>0</v>
      </c>
      <c r="O288" s="151">
        <f>+IF(OR($Q288=Parametres!$G$2,$Q288=Parametres!$G$3),J288,D288)</f>
        <v>3722.69</v>
      </c>
      <c r="P288" s="151">
        <f>+IF(OR($Q288=Parametres!$G$2,$Q288=Parametres!$G$3),K288,E288)</f>
        <v>3722.69</v>
      </c>
      <c r="Q288" s="150" t="str">
        <f t="shared" si="22"/>
        <v>7-Dépenses</v>
      </c>
      <c r="R288" s="149" t="str">
        <f t="shared" si="23"/>
        <v>27</v>
      </c>
      <c r="S288" s="150" t="str">
        <f t="shared" si="24"/>
        <v>_</v>
      </c>
      <c r="T288" s="152" t="str">
        <f>+VLOOKUP($L288,Data_Validation!$A:$D,1,0)</f>
        <v>27A</v>
      </c>
      <c r="U288" s="152" t="str">
        <f>+VLOOKUP($L288,Data_Validation!$A:$D,3,0)</f>
        <v>Véhicules neufs</v>
      </c>
      <c r="V288" s="152" t="str">
        <f>+VLOOKUP($L288,Data_Validation!$A:$D,4,0)</f>
        <v>Bénéfices marginaux</v>
      </c>
      <c r="W288" s="152" t="str">
        <f>+VLOOKUP($L288,Data_Validation!$A:$E,5,0)</f>
        <v>$</v>
      </c>
      <c r="X288" s="152">
        <f>+VLOOKUP($L288,Data_Validation!$A:$F,6,0)</f>
        <v>0</v>
      </c>
    </row>
    <row r="289" spans="1:24" ht="15" customHeight="1">
      <c r="A289" s="708" t="s">
        <v>1712</v>
      </c>
      <c r="B289" s="708" t="s">
        <v>852</v>
      </c>
      <c r="C289" s="710">
        <v>0</v>
      </c>
      <c r="D289" s="710">
        <v>1383.53</v>
      </c>
      <c r="E289" s="710">
        <v>1383.53</v>
      </c>
      <c r="F289" s="708" t="s">
        <v>2228</v>
      </c>
      <c r="G289" s="708" t="s">
        <v>2273</v>
      </c>
      <c r="H289" s="664" t="s">
        <v>3000</v>
      </c>
      <c r="I289" s="663"/>
      <c r="J289" s="663"/>
      <c r="K289" s="663"/>
      <c r="L289" s="149" t="str">
        <f t="shared" si="20"/>
        <v>27C</v>
      </c>
      <c r="M289" s="150" t="str">
        <f t="shared" si="21"/>
        <v>AVANT. SOCIAUX - USAGE BMW</v>
      </c>
      <c r="N289" s="151">
        <f>+IF(OR($Q289=Parametres!$G$2,$Q289=Parametres!$G$3),I289,C289)</f>
        <v>0</v>
      </c>
      <c r="O289" s="151">
        <f>+IF(OR($Q289=Parametres!$G$2,$Q289=Parametres!$G$3),J289,D289)</f>
        <v>1383.53</v>
      </c>
      <c r="P289" s="151">
        <f>+IF(OR($Q289=Parametres!$G$2,$Q289=Parametres!$G$3),K289,E289)</f>
        <v>1383.53</v>
      </c>
      <c r="Q289" s="150" t="str">
        <f t="shared" si="22"/>
        <v>7-Dépenses</v>
      </c>
      <c r="R289" s="149" t="str">
        <f t="shared" si="23"/>
        <v>27</v>
      </c>
      <c r="S289" s="150" t="str">
        <f t="shared" si="24"/>
        <v>_</v>
      </c>
      <c r="T289" s="152" t="str">
        <f>+VLOOKUP($L289,Data_Validation!$A:$D,1,0)</f>
        <v>27C</v>
      </c>
      <c r="U289" s="152" t="str">
        <f>+VLOOKUP($L289,Data_Validation!$A:$D,3,0)</f>
        <v>Véhicules usagés</v>
      </c>
      <c r="V289" s="152" t="str">
        <f>+VLOOKUP($L289,Data_Validation!$A:$D,4,0)</f>
        <v>Bénéfices marginaux</v>
      </c>
      <c r="W289" s="152" t="str">
        <f>+VLOOKUP($L289,Data_Validation!$A:$E,5,0)</f>
        <v>$</v>
      </c>
      <c r="X289" s="152">
        <f>+VLOOKUP($L289,Data_Validation!$A:$F,6,0)</f>
        <v>0</v>
      </c>
    </row>
    <row r="290" spans="1:24" ht="15" customHeight="1">
      <c r="A290" s="708" t="s">
        <v>1758</v>
      </c>
      <c r="B290" s="708" t="s">
        <v>948</v>
      </c>
      <c r="C290" s="709">
        <v>0</v>
      </c>
      <c r="D290" s="1274">
        <v>5048.84</v>
      </c>
      <c r="E290" s="1274">
        <v>5048.84</v>
      </c>
      <c r="F290" s="708" t="s">
        <v>2228</v>
      </c>
      <c r="G290" s="708" t="s">
        <v>2273</v>
      </c>
      <c r="H290" s="709" t="s">
        <v>3000</v>
      </c>
      <c r="I290" s="710"/>
      <c r="J290" s="710"/>
      <c r="K290" s="710"/>
      <c r="L290" s="149" t="str">
        <f t="shared" si="20"/>
        <v>27E</v>
      </c>
      <c r="M290" s="150" t="str">
        <f t="shared" si="21"/>
        <v>AVANT. SOCIAUX - SERV. BMW</v>
      </c>
      <c r="N290" s="151">
        <f>+IF(OR($Q290=Parametres!$G$2,$Q290=Parametres!$G$3),I290,C290)</f>
        <v>0</v>
      </c>
      <c r="O290" s="151">
        <f>+IF(OR($Q290=Parametres!$G$2,$Q290=Parametres!$G$3),J290,D290)</f>
        <v>5048.84</v>
      </c>
      <c r="P290" s="151">
        <f>+IF(OR($Q290=Parametres!$G$2,$Q290=Parametres!$G$3),K290,E290)</f>
        <v>5048.84</v>
      </c>
      <c r="Q290" s="150" t="str">
        <f t="shared" si="22"/>
        <v>7-Dépenses</v>
      </c>
      <c r="R290" s="149" t="str">
        <f t="shared" si="23"/>
        <v>27</v>
      </c>
      <c r="S290" s="150" t="str">
        <f t="shared" si="24"/>
        <v>_</v>
      </c>
      <c r="T290" s="152" t="str">
        <f>+VLOOKUP($L290,Data_Validation!$A:$D,1,0)</f>
        <v>27E</v>
      </c>
      <c r="U290" s="152" t="str">
        <f>+VLOOKUP($L290,Data_Validation!$A:$D,3,0)</f>
        <v>Service</v>
      </c>
      <c r="V290" s="152" t="str">
        <f>+VLOOKUP($L290,Data_Validation!$A:$D,4,0)</f>
        <v>Bénéfices marginaux</v>
      </c>
      <c r="W290" s="152" t="str">
        <f>+VLOOKUP($L290,Data_Validation!$A:$E,5,0)</f>
        <v>$</v>
      </c>
      <c r="X290" s="152">
        <f>+VLOOKUP($L290,Data_Validation!$A:$F,6,0)</f>
        <v>0</v>
      </c>
    </row>
    <row r="291" spans="1:24" ht="15.75" customHeight="1">
      <c r="A291" s="708" t="s">
        <v>1749</v>
      </c>
      <c r="B291" s="708" t="s">
        <v>904</v>
      </c>
      <c r="C291" s="710">
        <v>0</v>
      </c>
      <c r="D291" s="710">
        <v>2290.9499999999998</v>
      </c>
      <c r="E291" s="710">
        <v>2290.9499999999998</v>
      </c>
      <c r="F291" s="708" t="s">
        <v>2228</v>
      </c>
      <c r="G291" s="708" t="s">
        <v>2273</v>
      </c>
      <c r="H291" s="664" t="s">
        <v>3000</v>
      </c>
      <c r="I291" s="664"/>
      <c r="J291" s="664"/>
      <c r="K291" s="664"/>
      <c r="L291" s="149" t="str">
        <f t="shared" si="20"/>
        <v>27G</v>
      </c>
      <c r="M291" s="150" t="str">
        <f t="shared" si="21"/>
        <v>AVANT. SOCIAUX - PIECE BMW</v>
      </c>
      <c r="N291" s="151">
        <f>+IF(OR($Q291=Parametres!$G$2,$Q291=Parametres!$G$3),I291,C291)</f>
        <v>0</v>
      </c>
      <c r="O291" s="151">
        <f>+IF(OR($Q291=Parametres!$G$2,$Q291=Parametres!$G$3),J291,D291)</f>
        <v>2290.9499999999998</v>
      </c>
      <c r="P291" s="151">
        <f>+IF(OR($Q291=Parametres!$G$2,$Q291=Parametres!$G$3),K291,E291)</f>
        <v>2290.9499999999998</v>
      </c>
      <c r="Q291" s="150" t="str">
        <f t="shared" si="22"/>
        <v>7-Dépenses</v>
      </c>
      <c r="R291" s="149" t="str">
        <f t="shared" si="23"/>
        <v>27</v>
      </c>
      <c r="S291" s="150" t="str">
        <f t="shared" si="24"/>
        <v>_</v>
      </c>
      <c r="T291" s="152" t="str">
        <f>+VLOOKUP($L291,Data_Validation!$A:$D,1,0)</f>
        <v>27G</v>
      </c>
      <c r="U291" s="152" t="str">
        <f>+VLOOKUP($L291,Data_Validation!$A:$D,3,0)</f>
        <v>Pièces</v>
      </c>
      <c r="V291" s="152" t="str">
        <f>+VLOOKUP($L291,Data_Validation!$A:$D,4,0)</f>
        <v>Bénéfices marginaux</v>
      </c>
      <c r="W291" s="152" t="str">
        <f>+VLOOKUP($L291,Data_Validation!$A:$E,5,0)</f>
        <v>$</v>
      </c>
      <c r="X291" s="152">
        <f>+VLOOKUP($L291,Data_Validation!$A:$F,6,0)</f>
        <v>0</v>
      </c>
    </row>
    <row r="292" spans="1:24" ht="15" customHeight="1">
      <c r="A292" s="708" t="s">
        <v>1786</v>
      </c>
      <c r="B292" s="708" t="s">
        <v>859</v>
      </c>
      <c r="C292" s="710">
        <v>0</v>
      </c>
      <c r="D292" s="710">
        <v>1572.23</v>
      </c>
      <c r="E292" s="710">
        <v>1572.23</v>
      </c>
      <c r="F292" s="708" t="s">
        <v>2228</v>
      </c>
      <c r="G292" s="708" t="s">
        <v>2264</v>
      </c>
      <c r="H292" s="664" t="s">
        <v>3000</v>
      </c>
      <c r="I292" s="663"/>
      <c r="J292" s="663"/>
      <c r="K292" s="663"/>
      <c r="L292" s="149" t="str">
        <f t="shared" si="20"/>
        <v>29A</v>
      </c>
      <c r="M292" s="150" t="str">
        <f t="shared" si="21"/>
        <v>FONDS PENSIONS - NEUF BMW</v>
      </c>
      <c r="N292" s="151">
        <f>+IF(OR($Q292=Parametres!$G$2,$Q292=Parametres!$G$3),I292,C292)</f>
        <v>0</v>
      </c>
      <c r="O292" s="151">
        <f>+IF(OR($Q292=Parametres!$G$2,$Q292=Parametres!$G$3),J292,D292)</f>
        <v>1572.23</v>
      </c>
      <c r="P292" s="151">
        <f>+IF(OR($Q292=Parametres!$G$2,$Q292=Parametres!$G$3),K292,E292)</f>
        <v>1572.23</v>
      </c>
      <c r="Q292" s="150" t="str">
        <f t="shared" si="22"/>
        <v>7-Dépenses</v>
      </c>
      <c r="R292" s="149" t="str">
        <f t="shared" si="23"/>
        <v>29</v>
      </c>
      <c r="S292" s="150" t="str">
        <f t="shared" si="24"/>
        <v>_</v>
      </c>
      <c r="T292" s="152" t="str">
        <f>+VLOOKUP($L292,Data_Validation!$A:$D,1,0)</f>
        <v>29A</v>
      </c>
      <c r="U292" s="152" t="str">
        <f>+VLOOKUP($L292,Data_Validation!$A:$D,3,0)</f>
        <v>Véhicules neufs</v>
      </c>
      <c r="V292" s="152" t="str">
        <f>+VLOOKUP($L292,Data_Validation!$A:$D,4,0)</f>
        <v>csst</v>
      </c>
      <c r="W292" s="152" t="str">
        <f>+VLOOKUP($L292,Data_Validation!$A:$E,5,0)</f>
        <v>$</v>
      </c>
      <c r="X292" s="152">
        <f>+VLOOKUP($L292,Data_Validation!$A:$F,6,0)</f>
        <v>0</v>
      </c>
    </row>
    <row r="293" spans="1:24" ht="15" customHeight="1">
      <c r="A293" s="662" t="s">
        <v>1702</v>
      </c>
      <c r="B293" s="662" t="s">
        <v>815</v>
      </c>
      <c r="C293" s="663">
        <v>0</v>
      </c>
      <c r="D293" s="663">
        <v>621.11</v>
      </c>
      <c r="E293" s="663">
        <v>621.11</v>
      </c>
      <c r="F293" s="662" t="s">
        <v>2228</v>
      </c>
      <c r="G293" s="662" t="s">
        <v>2264</v>
      </c>
      <c r="H293" s="657" t="s">
        <v>3000</v>
      </c>
      <c r="I293" s="656"/>
      <c r="J293" s="656"/>
      <c r="K293" s="656"/>
      <c r="L293" s="149" t="str">
        <f t="shared" si="20"/>
        <v>29C</v>
      </c>
      <c r="M293" s="150" t="str">
        <f t="shared" si="21"/>
        <v>FONDS PENSIONS - USAGE BMW</v>
      </c>
      <c r="N293" s="151">
        <f>+IF(OR($Q293=Parametres!$G$2,$Q293=Parametres!$G$3),I293,C293)</f>
        <v>0</v>
      </c>
      <c r="O293" s="151">
        <f>+IF(OR($Q293=Parametres!$G$2,$Q293=Parametres!$G$3),J293,D293)</f>
        <v>621.11</v>
      </c>
      <c r="P293" s="151">
        <f>+IF(OR($Q293=Parametres!$G$2,$Q293=Parametres!$G$3),K293,E293)</f>
        <v>621.11</v>
      </c>
      <c r="Q293" s="150" t="str">
        <f t="shared" si="22"/>
        <v>7-Dépenses</v>
      </c>
      <c r="R293" s="149" t="str">
        <f t="shared" si="23"/>
        <v>29</v>
      </c>
      <c r="S293" s="150" t="str">
        <f t="shared" si="24"/>
        <v>_</v>
      </c>
      <c r="T293" s="152" t="str">
        <f>+VLOOKUP($L293,Data_Validation!$A:$D,1,0)</f>
        <v>29C</v>
      </c>
      <c r="U293" s="152" t="str">
        <f>+VLOOKUP($L293,Data_Validation!$A:$D,3,0)</f>
        <v>Véhicules usagés</v>
      </c>
      <c r="V293" s="152" t="str">
        <f>+VLOOKUP($L293,Data_Validation!$A:$D,4,0)</f>
        <v>csst</v>
      </c>
      <c r="W293" s="152" t="str">
        <f>+VLOOKUP($L293,Data_Validation!$A:$E,5,0)</f>
        <v>$</v>
      </c>
      <c r="X293" s="152">
        <f>+VLOOKUP($L293,Data_Validation!$A:$F,6,0)</f>
        <v>0</v>
      </c>
    </row>
    <row r="294" spans="1:24" ht="15" customHeight="1">
      <c r="A294" s="662" t="s">
        <v>1744</v>
      </c>
      <c r="B294" s="662" t="s">
        <v>838</v>
      </c>
      <c r="C294" s="663">
        <v>0</v>
      </c>
      <c r="D294" s="663">
        <v>2414.58</v>
      </c>
      <c r="E294" s="663">
        <v>2414.58</v>
      </c>
      <c r="F294" s="662" t="s">
        <v>2228</v>
      </c>
      <c r="G294" s="662" t="s">
        <v>2264</v>
      </c>
      <c r="H294" s="657" t="s">
        <v>3000</v>
      </c>
      <c r="I294" s="656"/>
      <c r="J294" s="656"/>
      <c r="K294" s="656"/>
      <c r="L294" s="149" t="str">
        <f t="shared" si="20"/>
        <v>29E</v>
      </c>
      <c r="M294" s="150" t="str">
        <f t="shared" si="21"/>
        <v>FONDS PENSIONS - SERV. BMW</v>
      </c>
      <c r="N294" s="151">
        <f>+IF(OR($Q294=Parametres!$G$2,$Q294=Parametres!$G$3),I294,C294)</f>
        <v>0</v>
      </c>
      <c r="O294" s="151">
        <f>+IF(OR($Q294=Parametres!$G$2,$Q294=Parametres!$G$3),J294,D294)</f>
        <v>2414.58</v>
      </c>
      <c r="P294" s="151">
        <f>+IF(OR($Q294=Parametres!$G$2,$Q294=Parametres!$G$3),K294,E294)</f>
        <v>2414.58</v>
      </c>
      <c r="Q294" s="150" t="str">
        <f t="shared" si="22"/>
        <v>7-Dépenses</v>
      </c>
      <c r="R294" s="149" t="str">
        <f t="shared" si="23"/>
        <v>29</v>
      </c>
      <c r="S294" s="150" t="str">
        <f t="shared" si="24"/>
        <v>_</v>
      </c>
      <c r="T294" s="152" t="str">
        <f>+VLOOKUP($L294,Data_Validation!$A:$D,1,0)</f>
        <v>29E</v>
      </c>
      <c r="U294" s="152" t="str">
        <f>+VLOOKUP($L294,Data_Validation!$A:$D,3,0)</f>
        <v>Service</v>
      </c>
      <c r="V294" s="152" t="str">
        <f>+VLOOKUP($L294,Data_Validation!$A:$D,4,0)</f>
        <v>csst</v>
      </c>
      <c r="W294" s="152" t="str">
        <f>+VLOOKUP($L294,Data_Validation!$A:$E,5,0)</f>
        <v>$</v>
      </c>
      <c r="X294" s="152">
        <f>+VLOOKUP($L294,Data_Validation!$A:$F,6,0)</f>
        <v>0</v>
      </c>
    </row>
    <row r="295" spans="1:24" ht="15" customHeight="1">
      <c r="A295" s="662" t="s">
        <v>1739</v>
      </c>
      <c r="B295" s="662" t="s">
        <v>830</v>
      </c>
      <c r="C295" s="663">
        <v>0</v>
      </c>
      <c r="D295" s="663">
        <v>742.08</v>
      </c>
      <c r="E295" s="663">
        <v>742.08</v>
      </c>
      <c r="F295" s="662" t="s">
        <v>2228</v>
      </c>
      <c r="G295" s="662" t="s">
        <v>2264</v>
      </c>
      <c r="H295" s="657" t="s">
        <v>3000</v>
      </c>
      <c r="I295" s="656"/>
      <c r="J295" s="656"/>
      <c r="K295" s="656"/>
      <c r="L295" s="149" t="str">
        <f t="shared" si="20"/>
        <v>29G</v>
      </c>
      <c r="M295" s="150" t="str">
        <f t="shared" si="21"/>
        <v>FONDS PENSIONS - PIECE BMW</v>
      </c>
      <c r="N295" s="151">
        <f>+IF(OR($Q295=Parametres!$G$2,$Q295=Parametres!$G$3),I295,C295)</f>
        <v>0</v>
      </c>
      <c r="O295" s="151">
        <f>+IF(OR($Q295=Parametres!$G$2,$Q295=Parametres!$G$3),J295,D295)</f>
        <v>742.08</v>
      </c>
      <c r="P295" s="151">
        <f>+IF(OR($Q295=Parametres!$G$2,$Q295=Parametres!$G$3),K295,E295)</f>
        <v>742.08</v>
      </c>
      <c r="Q295" s="150" t="str">
        <f t="shared" si="22"/>
        <v>7-Dépenses</v>
      </c>
      <c r="R295" s="149" t="str">
        <f t="shared" si="23"/>
        <v>29</v>
      </c>
      <c r="S295" s="150" t="str">
        <f t="shared" si="24"/>
        <v>_</v>
      </c>
      <c r="T295" s="152" t="str">
        <f>+VLOOKUP($L295,Data_Validation!$A:$D,1,0)</f>
        <v>29G</v>
      </c>
      <c r="U295" s="152" t="str">
        <f>+VLOOKUP($L295,Data_Validation!$A:$D,3,0)</f>
        <v>Pièces</v>
      </c>
      <c r="V295" s="152" t="str">
        <f>+VLOOKUP($L295,Data_Validation!$A:$D,4,0)</f>
        <v>csst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customHeight="1">
      <c r="A296" s="708" t="s">
        <v>1677</v>
      </c>
      <c r="B296" s="708" t="s">
        <v>908</v>
      </c>
      <c r="C296" s="710">
        <v>0</v>
      </c>
      <c r="D296" s="710">
        <v>684.54</v>
      </c>
      <c r="E296" s="710">
        <v>684.54</v>
      </c>
      <c r="F296" s="708" t="s">
        <v>2228</v>
      </c>
      <c r="G296" s="708" t="s">
        <v>2261</v>
      </c>
      <c r="H296" s="657" t="s">
        <v>3000</v>
      </c>
      <c r="I296" s="656"/>
      <c r="J296" s="656"/>
      <c r="K296" s="656"/>
      <c r="L296" s="149" t="str">
        <f t="shared" si="20"/>
        <v>51E</v>
      </c>
      <c r="M296" s="150" t="str">
        <f t="shared" si="21"/>
        <v>UNIFORMES - SERV. BMW</v>
      </c>
      <c r="N296" s="151">
        <f>+IF(OR($Q296=Parametres!$G$2,$Q296=Parametres!$G$3),I296,C296)</f>
        <v>0</v>
      </c>
      <c r="O296" s="151">
        <f>+IF(OR($Q296=Parametres!$G$2,$Q296=Parametres!$G$3),J296,D296)</f>
        <v>684.54</v>
      </c>
      <c r="P296" s="151">
        <f>+IF(OR($Q296=Parametres!$G$2,$Q296=Parametres!$G$3),K296,E296)</f>
        <v>684.54</v>
      </c>
      <c r="Q296" s="150" t="str">
        <f t="shared" si="22"/>
        <v>7-Dépenses</v>
      </c>
      <c r="R296" s="149" t="str">
        <f t="shared" si="23"/>
        <v>51</v>
      </c>
      <c r="S296" s="150" t="str">
        <f t="shared" si="24"/>
        <v>_</v>
      </c>
      <c r="T296" s="152" t="str">
        <f>+VLOOKUP($L296,Data_Validation!$A:$D,1,0)</f>
        <v>51E</v>
      </c>
      <c r="U296" s="152" t="str">
        <f>+VLOOKUP($L296,Data_Validation!$A:$D,3,0)</f>
        <v>Service</v>
      </c>
      <c r="V296" s="152" t="str">
        <f>+VLOOKUP($L296,Data_Validation!$A:$D,4,0)</f>
        <v>Uniformes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customHeight="1">
      <c r="A297" s="662" t="s">
        <v>1163</v>
      </c>
      <c r="B297" s="662" t="s">
        <v>877</v>
      </c>
      <c r="C297" s="663">
        <v>0</v>
      </c>
      <c r="D297" s="663">
        <v>1522.88</v>
      </c>
      <c r="E297" s="663">
        <v>1522.88</v>
      </c>
      <c r="F297" s="662" t="s">
        <v>2228</v>
      </c>
      <c r="G297" s="662" t="s">
        <v>2295</v>
      </c>
      <c r="H297" s="657" t="s">
        <v>3000</v>
      </c>
      <c r="I297" s="656"/>
      <c r="J297" s="656"/>
      <c r="K297" s="656"/>
      <c r="L297" s="149" t="str">
        <f t="shared" si="20"/>
        <v>52E</v>
      </c>
      <c r="M297" s="150" t="str">
        <f t="shared" si="21"/>
        <v>DEP. VEHICULES PRETS - SERV. BMW</v>
      </c>
      <c r="N297" s="151">
        <f>+IF(OR($Q297=Parametres!$G$2,$Q297=Parametres!$G$3),I297,C297)</f>
        <v>0</v>
      </c>
      <c r="O297" s="151">
        <f>+IF(OR($Q297=Parametres!$G$2,$Q297=Parametres!$G$3),J297,D297)</f>
        <v>1522.88</v>
      </c>
      <c r="P297" s="151">
        <f>+IF(OR($Q297=Parametres!$G$2,$Q297=Parametres!$G$3),K297,E297)</f>
        <v>1522.88</v>
      </c>
      <c r="Q297" s="150" t="str">
        <f t="shared" si="22"/>
        <v>7-Dépenses</v>
      </c>
      <c r="R297" s="149" t="str">
        <f t="shared" si="23"/>
        <v>52</v>
      </c>
      <c r="S297" s="150" t="str">
        <f t="shared" si="24"/>
        <v>_</v>
      </c>
      <c r="T297" s="152" t="str">
        <f>+VLOOKUP($L297,Data_Validation!$A:$D,1,0)</f>
        <v>52E</v>
      </c>
      <c r="U297" s="152" t="str">
        <f>+VLOOKUP($L297,Data_Validation!$A:$D,3,0)</f>
        <v>Service</v>
      </c>
      <c r="V297" s="152" t="str">
        <f>+VLOOKUP($L297,Data_Validation!$A:$D,4,0)</f>
        <v>Frais véhicules de cie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customHeight="1">
      <c r="A298" s="708" t="s">
        <v>1161</v>
      </c>
      <c r="B298" s="708" t="s">
        <v>1162</v>
      </c>
      <c r="C298" s="710">
        <v>0</v>
      </c>
      <c r="D298" s="710">
        <v>1522.83</v>
      </c>
      <c r="E298" s="710">
        <v>1522.83</v>
      </c>
      <c r="F298" s="708" t="s">
        <v>2228</v>
      </c>
      <c r="G298" s="708" t="s">
        <v>2295</v>
      </c>
      <c r="H298" s="657" t="s">
        <v>3000</v>
      </c>
      <c r="I298" s="656"/>
      <c r="J298" s="656"/>
      <c r="K298" s="656"/>
      <c r="L298" s="149" t="str">
        <f t="shared" si="20"/>
        <v>52G</v>
      </c>
      <c r="M298" s="150" t="str">
        <f t="shared" si="21"/>
        <v>DEP. VEHICULES PRETS - PIECE BMW</v>
      </c>
      <c r="N298" s="151">
        <f>+IF(OR($Q298=Parametres!$G$2,$Q298=Parametres!$G$3),I298,C298)</f>
        <v>0</v>
      </c>
      <c r="O298" s="151">
        <f>+IF(OR($Q298=Parametres!$G$2,$Q298=Parametres!$G$3),J298,D298)</f>
        <v>1522.83</v>
      </c>
      <c r="P298" s="151">
        <f>+IF(OR($Q298=Parametres!$G$2,$Q298=Parametres!$G$3),K298,E298)</f>
        <v>1522.83</v>
      </c>
      <c r="Q298" s="150" t="str">
        <f t="shared" si="22"/>
        <v>7-Dépenses</v>
      </c>
      <c r="R298" s="149" t="str">
        <f t="shared" si="23"/>
        <v>52</v>
      </c>
      <c r="S298" s="150" t="str">
        <f t="shared" si="24"/>
        <v>_</v>
      </c>
      <c r="T298" s="152" t="str">
        <f>+VLOOKUP($L298,Data_Validation!$A:$D,1,0)</f>
        <v>52G</v>
      </c>
      <c r="U298" s="152" t="str">
        <f>+VLOOKUP($L298,Data_Validation!$A:$D,3,0)</f>
        <v>pièces</v>
      </c>
      <c r="V298" s="152" t="str">
        <f>+VLOOKUP($L298,Data_Validation!$A:$D,4,0)</f>
        <v>Frais véhicules de cie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customHeight="1">
      <c r="A299" s="708" t="s">
        <v>1762</v>
      </c>
      <c r="B299" s="708" t="s">
        <v>936</v>
      </c>
      <c r="C299" s="710">
        <v>0</v>
      </c>
      <c r="D299" s="710">
        <v>2004.38</v>
      </c>
      <c r="E299" s="710">
        <v>2004.38</v>
      </c>
      <c r="F299" s="708" t="s">
        <v>2228</v>
      </c>
      <c r="G299" s="708" t="s">
        <v>2278</v>
      </c>
      <c r="H299" s="657" t="s">
        <v>3000</v>
      </c>
      <c r="I299" s="656"/>
      <c r="J299" s="656"/>
      <c r="K299" s="656"/>
      <c r="L299" s="149" t="str">
        <f t="shared" si="20"/>
        <v>53A</v>
      </c>
      <c r="M299" s="150" t="str">
        <f t="shared" si="21"/>
        <v>VEH. COMPAGNIE - NEUF BMW</v>
      </c>
      <c r="N299" s="151">
        <f>+IF(OR($Q299=Parametres!$G$2,$Q299=Parametres!$G$3),I299,C299)</f>
        <v>0</v>
      </c>
      <c r="O299" s="151">
        <f>+IF(OR($Q299=Parametres!$G$2,$Q299=Parametres!$G$3),J299,D299)</f>
        <v>2004.38</v>
      </c>
      <c r="P299" s="151">
        <f>+IF(OR($Q299=Parametres!$G$2,$Q299=Parametres!$G$3),K299,E299)</f>
        <v>2004.38</v>
      </c>
      <c r="Q299" s="150" t="str">
        <f t="shared" si="22"/>
        <v>7-Dépenses</v>
      </c>
      <c r="R299" s="149" t="str">
        <f t="shared" si="23"/>
        <v>53</v>
      </c>
      <c r="S299" s="150" t="str">
        <f t="shared" si="24"/>
        <v>_</v>
      </c>
      <c r="T299" s="152" t="str">
        <f>+VLOOKUP($L299,Data_Validation!$A:$D,1,0)</f>
        <v>53A</v>
      </c>
      <c r="U299" s="152" t="str">
        <f>+VLOOKUP($L299,Data_Validation!$A:$D,3,0)</f>
        <v>Véhicules neufs</v>
      </c>
      <c r="V299" s="152" t="str">
        <f>+VLOOKUP($L299,Data_Validation!$A:$D,4,0)</f>
        <v>Frais véhicules de cie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customHeight="1">
      <c r="A300" s="708" t="s">
        <v>1705</v>
      </c>
      <c r="B300" s="708" t="s">
        <v>864</v>
      </c>
      <c r="C300" s="710">
        <v>0</v>
      </c>
      <c r="D300" s="710">
        <v>720.21</v>
      </c>
      <c r="E300" s="710">
        <v>720.21</v>
      </c>
      <c r="F300" s="708" t="s">
        <v>2228</v>
      </c>
      <c r="G300" s="708" t="s">
        <v>2278</v>
      </c>
      <c r="H300" s="664" t="s">
        <v>3000</v>
      </c>
      <c r="I300" s="663"/>
      <c r="J300" s="663"/>
      <c r="K300" s="663"/>
      <c r="L300" s="149" t="str">
        <f t="shared" si="20"/>
        <v>53C</v>
      </c>
      <c r="M300" s="150" t="str">
        <f t="shared" si="21"/>
        <v>VEH. COMPAGNIE - USAGE BMW</v>
      </c>
      <c r="N300" s="151">
        <f>+IF(OR($Q300=Parametres!$G$2,$Q300=Parametres!$G$3),I300,C300)</f>
        <v>0</v>
      </c>
      <c r="O300" s="151">
        <f>+IF(OR($Q300=Parametres!$G$2,$Q300=Parametres!$G$3),J300,D300)</f>
        <v>720.21</v>
      </c>
      <c r="P300" s="151">
        <f>+IF(OR($Q300=Parametres!$G$2,$Q300=Parametres!$G$3),K300,E300)</f>
        <v>720.21</v>
      </c>
      <c r="Q300" s="150" t="str">
        <f t="shared" si="22"/>
        <v>7-Dépenses</v>
      </c>
      <c r="R300" s="149" t="str">
        <f t="shared" si="23"/>
        <v>53</v>
      </c>
      <c r="S300" s="150" t="str">
        <f t="shared" si="24"/>
        <v>_</v>
      </c>
      <c r="T300" s="152" t="str">
        <f>+VLOOKUP($L300,Data_Validation!$A:$D,1,0)</f>
        <v>53C</v>
      </c>
      <c r="U300" s="152" t="str">
        <f>+VLOOKUP($L300,Data_Validation!$A:$D,3,0)</f>
        <v>Véhicules usagés</v>
      </c>
      <c r="V300" s="152" t="str">
        <f>+VLOOKUP($L300,Data_Validation!$A:$D,4,0)</f>
        <v>Frais véhicules de cie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customHeight="1">
      <c r="A301" s="708" t="s">
        <v>1693</v>
      </c>
      <c r="B301" s="708" t="s">
        <v>895</v>
      </c>
      <c r="C301" s="709">
        <v>0</v>
      </c>
      <c r="D301" s="1274">
        <v>886</v>
      </c>
      <c r="E301" s="1274">
        <v>886</v>
      </c>
      <c r="F301" s="708" t="s">
        <v>2228</v>
      </c>
      <c r="G301" s="708" t="s">
        <v>2278</v>
      </c>
      <c r="H301" s="709" t="s">
        <v>3000</v>
      </c>
      <c r="I301" s="710"/>
      <c r="J301" s="710"/>
      <c r="K301" s="710"/>
      <c r="L301" s="149" t="str">
        <f t="shared" si="20"/>
        <v>53E</v>
      </c>
      <c r="M301" s="150" t="str">
        <f t="shared" si="21"/>
        <v>VEH. COMPAGNIE - SERV. BMW</v>
      </c>
      <c r="N301" s="151">
        <f>+IF(OR($Q301=Parametres!$G$2,$Q301=Parametres!$G$3),I301,C301)</f>
        <v>0</v>
      </c>
      <c r="O301" s="151">
        <f>+IF(OR($Q301=Parametres!$G$2,$Q301=Parametres!$G$3),J301,D301)</f>
        <v>886</v>
      </c>
      <c r="P301" s="151">
        <f>+IF(OR($Q301=Parametres!$G$2,$Q301=Parametres!$G$3),K301,E301)</f>
        <v>886</v>
      </c>
      <c r="Q301" s="150" t="str">
        <f t="shared" si="22"/>
        <v>7-Dépenses</v>
      </c>
      <c r="R301" s="149" t="str">
        <f t="shared" si="23"/>
        <v>53</v>
      </c>
      <c r="S301" s="150" t="str">
        <f t="shared" si="24"/>
        <v>_</v>
      </c>
      <c r="T301" s="152" t="str">
        <f>+VLOOKUP($L301,Data_Validation!$A:$D,1,0)</f>
        <v>53E</v>
      </c>
      <c r="U301" s="152" t="str">
        <f>+VLOOKUP($L301,Data_Validation!$A:$D,3,0)</f>
        <v>Service</v>
      </c>
      <c r="V301" s="152" t="str">
        <f>+VLOOKUP($L301,Data_Validation!$A:$D,4,0)</f>
        <v>Frais véhicules de cie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customHeight="1">
      <c r="A302" s="708" t="s">
        <v>1666</v>
      </c>
      <c r="B302" s="708" t="s">
        <v>870</v>
      </c>
      <c r="C302" s="710">
        <v>0</v>
      </c>
      <c r="D302" s="710">
        <v>619.53</v>
      </c>
      <c r="E302" s="710">
        <v>619.53</v>
      </c>
      <c r="F302" s="708" t="s">
        <v>2228</v>
      </c>
      <c r="G302" s="708" t="s">
        <v>2278</v>
      </c>
      <c r="H302" s="664" t="s">
        <v>3000</v>
      </c>
      <c r="I302" s="663"/>
      <c r="J302" s="663"/>
      <c r="K302" s="663"/>
      <c r="L302" s="149" t="str">
        <f t="shared" si="20"/>
        <v>53G</v>
      </c>
      <c r="M302" s="150" t="str">
        <f t="shared" si="21"/>
        <v>VEH. COMPAGNIE - PIECE BMW</v>
      </c>
      <c r="N302" s="151">
        <f>+IF(OR($Q302=Parametres!$G$2,$Q302=Parametres!$G$3),I302,C302)</f>
        <v>0</v>
      </c>
      <c r="O302" s="151">
        <f>+IF(OR($Q302=Parametres!$G$2,$Q302=Parametres!$G$3),J302,D302)</f>
        <v>619.53</v>
      </c>
      <c r="P302" s="151">
        <f>+IF(OR($Q302=Parametres!$G$2,$Q302=Parametres!$G$3),K302,E302)</f>
        <v>619.53</v>
      </c>
      <c r="Q302" s="150" t="str">
        <f t="shared" si="22"/>
        <v>7-Dépenses</v>
      </c>
      <c r="R302" s="149" t="str">
        <f t="shared" si="23"/>
        <v>53</v>
      </c>
      <c r="S302" s="150" t="str">
        <f t="shared" si="24"/>
        <v>_</v>
      </c>
      <c r="T302" s="152" t="str">
        <f>+VLOOKUP($L302,Data_Validation!$A:$D,1,0)</f>
        <v>53G</v>
      </c>
      <c r="U302" s="152" t="str">
        <f>+VLOOKUP($L302,Data_Validation!$A:$D,3,0)</f>
        <v>pièces</v>
      </c>
      <c r="V302" s="152" t="str">
        <f>+VLOOKUP($L302,Data_Validation!$A:$D,4,0)</f>
        <v>Frais véhicules de cie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customHeight="1">
      <c r="A303" s="708" t="s">
        <v>1691</v>
      </c>
      <c r="B303" s="708" t="s">
        <v>855</v>
      </c>
      <c r="C303" s="710">
        <v>0</v>
      </c>
      <c r="D303" s="710">
        <v>170.18</v>
      </c>
      <c r="E303" s="710">
        <v>170.18</v>
      </c>
      <c r="F303" s="708" t="s">
        <v>2228</v>
      </c>
      <c r="G303" s="708" t="s">
        <v>2269</v>
      </c>
      <c r="H303" s="602" t="s">
        <v>3000</v>
      </c>
      <c r="I303" s="601"/>
      <c r="J303" s="601"/>
      <c r="K303" s="601"/>
      <c r="L303" s="149" t="str">
        <f t="shared" si="20"/>
        <v>60A</v>
      </c>
      <c r="M303" s="150" t="str">
        <f t="shared" si="21"/>
        <v>FOURNITURES BUREAU - NEUF BMW</v>
      </c>
      <c r="N303" s="151">
        <f>+IF(OR($Q303=Parametres!$G$2,$Q303=Parametres!$G$3),I303,C303)</f>
        <v>0</v>
      </c>
      <c r="O303" s="497">
        <f>+IF(OR($Q303=Parametres!$G$2,$Q303=Parametres!$G$3),J303,D303)</f>
        <v>170.18</v>
      </c>
      <c r="P303" s="151">
        <f>+IF(OR($Q303=Parametres!$G$2,$Q303=Parametres!$G$3),K303,E303)</f>
        <v>170.18</v>
      </c>
      <c r="Q303" s="150" t="str">
        <f t="shared" si="22"/>
        <v>7-Dépenses</v>
      </c>
      <c r="R303" s="149" t="str">
        <f t="shared" si="23"/>
        <v>60</v>
      </c>
      <c r="S303" s="150" t="str">
        <f t="shared" si="24"/>
        <v>_</v>
      </c>
      <c r="T303" s="152" t="str">
        <f>+VLOOKUP($L303,Data_Validation!$A:$D,1,0)</f>
        <v>60A</v>
      </c>
      <c r="U303" s="152" t="str">
        <f>+VLOOKUP($L303,Data_Validation!$A:$D,3,0)</f>
        <v>Véhicules neufs</v>
      </c>
      <c r="V303" s="152" t="str">
        <f>+VLOOKUP($L303,Data_Validation!$A:$D,4,0)</f>
        <v>papeterie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708" t="s">
        <v>1632</v>
      </c>
      <c r="B304" s="708" t="s">
        <v>812</v>
      </c>
      <c r="C304" s="710">
        <v>0</v>
      </c>
      <c r="D304" s="710">
        <v>37.82</v>
      </c>
      <c r="E304" s="710">
        <v>37.82</v>
      </c>
      <c r="F304" s="708" t="s">
        <v>2228</v>
      </c>
      <c r="G304" s="708" t="s">
        <v>2269</v>
      </c>
      <c r="H304" s="664" t="s">
        <v>3000</v>
      </c>
      <c r="I304" s="663"/>
      <c r="J304" s="663"/>
      <c r="K304" s="663"/>
      <c r="L304" s="149" t="str">
        <f t="shared" si="20"/>
        <v>60C</v>
      </c>
      <c r="M304" s="150" t="str">
        <f t="shared" si="21"/>
        <v>FOURNITURES BUREAU - USAGE BMW</v>
      </c>
      <c r="N304" s="151">
        <f>+IF(OR($Q304=Parametres!$G$2,$Q304=Parametres!$G$3),I304,C304)</f>
        <v>0</v>
      </c>
      <c r="O304" s="151">
        <f>+IF(OR($Q304=Parametres!$G$2,$Q304=Parametres!$G$3),J304,D304)</f>
        <v>37.82</v>
      </c>
      <c r="P304" s="151">
        <f>+IF(OR($Q304=Parametres!$G$2,$Q304=Parametres!$G$3),K304,E304)</f>
        <v>37.82</v>
      </c>
      <c r="Q304" s="150" t="str">
        <f t="shared" si="22"/>
        <v>7-Dépenses</v>
      </c>
      <c r="R304" s="149" t="str">
        <f t="shared" si="23"/>
        <v>60</v>
      </c>
      <c r="S304" s="150" t="str">
        <f t="shared" si="24"/>
        <v>_</v>
      </c>
      <c r="T304" s="152" t="str">
        <f>+VLOOKUP($L304,Data_Validation!$A:$D,1,0)</f>
        <v>60C</v>
      </c>
      <c r="U304" s="152" t="str">
        <f>+VLOOKUP($L304,Data_Validation!$A:$D,3,0)</f>
        <v>Véhicules usagés</v>
      </c>
      <c r="V304" s="152" t="str">
        <f>+VLOOKUP($L304,Data_Validation!$A:$D,4,0)</f>
        <v>papeterie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708" t="s">
        <v>1668</v>
      </c>
      <c r="B305" s="708" t="s">
        <v>826</v>
      </c>
      <c r="C305" s="710">
        <v>0</v>
      </c>
      <c r="D305" s="710">
        <v>159.55000000000001</v>
      </c>
      <c r="E305" s="710">
        <v>159.55000000000001</v>
      </c>
      <c r="F305" s="708" t="s">
        <v>2228</v>
      </c>
      <c r="G305" s="708" t="s">
        <v>2269</v>
      </c>
      <c r="H305" s="664" t="s">
        <v>3000</v>
      </c>
      <c r="I305" s="663"/>
      <c r="J305" s="663"/>
      <c r="K305" s="663"/>
      <c r="L305" s="149" t="str">
        <f t="shared" si="20"/>
        <v>60E</v>
      </c>
      <c r="M305" s="150" t="str">
        <f t="shared" si="21"/>
        <v>FOURNITURES BUREAU - SERV. BMW</v>
      </c>
      <c r="N305" s="151">
        <f>+IF(OR($Q305=Parametres!$G$2,$Q305=Parametres!$G$3),I305,C305)</f>
        <v>0</v>
      </c>
      <c r="O305" s="151">
        <f>+IF(OR($Q305=Parametres!$G$2,$Q305=Parametres!$G$3),J305,D305)</f>
        <v>159.55000000000001</v>
      </c>
      <c r="P305" s="151">
        <f>+IF(OR($Q305=Parametres!$G$2,$Q305=Parametres!$G$3),K305,E305)</f>
        <v>159.55000000000001</v>
      </c>
      <c r="Q305" s="150" t="str">
        <f t="shared" si="22"/>
        <v>7-Dépenses</v>
      </c>
      <c r="R305" s="149" t="str">
        <f t="shared" si="23"/>
        <v>60</v>
      </c>
      <c r="S305" s="150" t="str">
        <f t="shared" si="24"/>
        <v>_</v>
      </c>
      <c r="T305" s="152" t="str">
        <f>+VLOOKUP($L305,Data_Validation!$A:$D,1,0)</f>
        <v>60E</v>
      </c>
      <c r="U305" s="152" t="str">
        <f>+VLOOKUP($L305,Data_Validation!$A:$D,3,0)</f>
        <v>Service</v>
      </c>
      <c r="V305" s="152" t="str">
        <f>+VLOOKUP($L305,Data_Validation!$A:$D,4,0)</f>
        <v>papeterie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708" t="s">
        <v>1662</v>
      </c>
      <c r="B306" s="708" t="s">
        <v>829</v>
      </c>
      <c r="C306" s="710">
        <v>0</v>
      </c>
      <c r="D306" s="710">
        <v>115.12</v>
      </c>
      <c r="E306" s="710">
        <v>115.12</v>
      </c>
      <c r="F306" s="708" t="s">
        <v>2228</v>
      </c>
      <c r="G306" s="708" t="s">
        <v>2269</v>
      </c>
      <c r="H306" s="664" t="s">
        <v>3000</v>
      </c>
      <c r="I306" s="663"/>
      <c r="J306" s="663"/>
      <c r="K306" s="663"/>
      <c r="L306" s="149" t="str">
        <f t="shared" si="20"/>
        <v>60G</v>
      </c>
      <c r="M306" s="150" t="str">
        <f t="shared" si="21"/>
        <v>FOURNITURES BUREAU - PIECE BMW</v>
      </c>
      <c r="N306" s="151">
        <f>+IF(OR($Q306=Parametres!$G$2,$Q306=Parametres!$G$3),I306,C306)</f>
        <v>0</v>
      </c>
      <c r="O306" s="151">
        <f>+IF(OR($Q306=Parametres!$G$2,$Q306=Parametres!$G$3),J306,D306)</f>
        <v>115.12</v>
      </c>
      <c r="P306" s="151">
        <f>+IF(OR($Q306=Parametres!$G$2,$Q306=Parametres!$G$3),K306,E306)</f>
        <v>115.12</v>
      </c>
      <c r="Q306" s="150" t="str">
        <f t="shared" si="22"/>
        <v>7-Dépenses</v>
      </c>
      <c r="R306" s="149" t="str">
        <f t="shared" si="23"/>
        <v>60</v>
      </c>
      <c r="S306" s="150" t="str">
        <f t="shared" si="24"/>
        <v>_</v>
      </c>
      <c r="T306" s="152" t="str">
        <f>+VLOOKUP($L306,Data_Validation!$A:$D,1,0)</f>
        <v>60G</v>
      </c>
      <c r="U306" s="152" t="str">
        <f>+VLOOKUP($L306,Data_Validation!$A:$D,3,0)</f>
        <v>pièces</v>
      </c>
      <c r="V306" s="152" t="str">
        <f>+VLOOKUP($L306,Data_Validation!$A:$D,4,0)</f>
        <v>papeterie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708" t="s">
        <v>1454</v>
      </c>
      <c r="B307" s="708" t="s">
        <v>682</v>
      </c>
      <c r="C307" s="710">
        <v>0</v>
      </c>
      <c r="D307" s="710">
        <v>13.12</v>
      </c>
      <c r="E307" s="710">
        <v>13.12</v>
      </c>
      <c r="F307" s="708" t="s">
        <v>2228</v>
      </c>
      <c r="G307" s="708" t="s">
        <v>2258</v>
      </c>
      <c r="H307" s="664" t="s">
        <v>3000</v>
      </c>
      <c r="I307" s="663"/>
      <c r="J307" s="663"/>
      <c r="K307" s="663"/>
      <c r="L307" s="149" t="str">
        <f t="shared" si="20"/>
        <v>61A</v>
      </c>
      <c r="M307" s="150" t="str">
        <f t="shared" si="21"/>
        <v>AUTRES FOURNITURES - NEUF BMW</v>
      </c>
      <c r="N307" s="151">
        <f>+IF(OR($Q307=Parametres!$G$2,$Q307=Parametres!$G$3),I307,C307)</f>
        <v>0</v>
      </c>
      <c r="O307" s="151">
        <f>+IF(OR($Q307=Parametres!$G$2,$Q307=Parametres!$G$3),J307,D307)</f>
        <v>13.12</v>
      </c>
      <c r="P307" s="151">
        <f>+IF(OR($Q307=Parametres!$G$2,$Q307=Parametres!$G$3),K307,E307)</f>
        <v>13.12</v>
      </c>
      <c r="Q307" s="150" t="str">
        <f t="shared" si="22"/>
        <v>7-Dépenses</v>
      </c>
      <c r="R307" s="149" t="str">
        <f t="shared" si="23"/>
        <v>61</v>
      </c>
      <c r="S307" s="150" t="str">
        <f t="shared" si="24"/>
        <v>_</v>
      </c>
      <c r="T307" s="152" t="str">
        <f>+VLOOKUP($L307,Data_Validation!$A:$D,1,0)</f>
        <v>61A</v>
      </c>
      <c r="U307" s="152" t="str">
        <f>+VLOOKUP($L307,Data_Validation!$A:$D,3,0)</f>
        <v>Véhicules neufs</v>
      </c>
      <c r="V307" s="152" t="str">
        <f>+VLOOKUP($L307,Data_Validation!$A:$D,4,0)</f>
        <v>fournitures autres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708" t="s">
        <v>1455</v>
      </c>
      <c r="B308" s="708" t="s">
        <v>683</v>
      </c>
      <c r="C308" s="709">
        <v>0</v>
      </c>
      <c r="D308" s="709">
        <v>2.92</v>
      </c>
      <c r="E308" s="709">
        <v>2.92</v>
      </c>
      <c r="F308" s="708" t="s">
        <v>2228</v>
      </c>
      <c r="G308" s="708" t="s">
        <v>2258</v>
      </c>
      <c r="H308" s="709" t="s">
        <v>3000</v>
      </c>
      <c r="I308" s="710"/>
      <c r="J308" s="710"/>
      <c r="K308" s="710"/>
      <c r="L308" s="149" t="str">
        <f t="shared" si="20"/>
        <v>61C</v>
      </c>
      <c r="M308" s="150" t="str">
        <f t="shared" si="21"/>
        <v>AUTRES FOURNITURES - USAGE BMW</v>
      </c>
      <c r="N308" s="151">
        <f>+IF(OR($Q308=Parametres!$G$2,$Q308=Parametres!$G$3),I308,C308)</f>
        <v>0</v>
      </c>
      <c r="O308" s="151">
        <f>+IF(OR($Q308=Parametres!$G$2,$Q308=Parametres!$G$3),J308,D308)</f>
        <v>2.92</v>
      </c>
      <c r="P308" s="151">
        <f>+IF(OR($Q308=Parametres!$G$2,$Q308=Parametres!$G$3),K308,E308)</f>
        <v>2.92</v>
      </c>
      <c r="Q308" s="150" t="str">
        <f t="shared" si="22"/>
        <v>7-Dépenses</v>
      </c>
      <c r="R308" s="149" t="str">
        <f t="shared" si="23"/>
        <v>61</v>
      </c>
      <c r="S308" s="150" t="str">
        <f t="shared" si="24"/>
        <v>_</v>
      </c>
      <c r="T308" s="152" t="str">
        <f>+VLOOKUP($L308,Data_Validation!$A:$D,1,0)</f>
        <v>61C</v>
      </c>
      <c r="U308" s="152" t="str">
        <f>+VLOOKUP($L308,Data_Validation!$A:$D,3,0)</f>
        <v>Véhicules usagés</v>
      </c>
      <c r="V308" s="152" t="str">
        <f>+VLOOKUP($L308,Data_Validation!$A:$D,4,0)</f>
        <v>fournitures autres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708" t="s">
        <v>1724</v>
      </c>
      <c r="B309" s="708" t="s">
        <v>791</v>
      </c>
      <c r="C309" s="710">
        <v>0</v>
      </c>
      <c r="D309" s="710">
        <v>1736.99</v>
      </c>
      <c r="E309" s="710">
        <v>1736.99</v>
      </c>
      <c r="F309" s="708" t="s">
        <v>2228</v>
      </c>
      <c r="G309" s="708" t="s">
        <v>2258</v>
      </c>
      <c r="H309" s="664" t="s">
        <v>3000</v>
      </c>
      <c r="I309" s="663"/>
      <c r="J309" s="663"/>
      <c r="K309" s="663"/>
      <c r="L309" s="149" t="str">
        <f t="shared" si="20"/>
        <v>61E</v>
      </c>
      <c r="M309" s="150" t="str">
        <f t="shared" si="21"/>
        <v>AUTRES FOURNITURES - SERV. BMW</v>
      </c>
      <c r="N309" s="151">
        <f>+IF(OR($Q309=Parametres!$G$2,$Q309=Parametres!$G$3),I309,C309)</f>
        <v>0</v>
      </c>
      <c r="O309" s="151">
        <f>+IF(OR($Q309=Parametres!$G$2,$Q309=Parametres!$G$3),J309,D309)</f>
        <v>1736.99</v>
      </c>
      <c r="P309" s="151">
        <f>+IF(OR($Q309=Parametres!$G$2,$Q309=Parametres!$G$3),K309,E309)</f>
        <v>1736.99</v>
      </c>
      <c r="Q309" s="150" t="str">
        <f t="shared" si="22"/>
        <v>7-Dépenses</v>
      </c>
      <c r="R309" s="149" t="str">
        <f t="shared" si="23"/>
        <v>61</v>
      </c>
      <c r="S309" s="150" t="str">
        <f t="shared" si="24"/>
        <v>_</v>
      </c>
      <c r="T309" s="152" t="str">
        <f>+VLOOKUP($L309,Data_Validation!$A:$D,1,0)</f>
        <v>61E</v>
      </c>
      <c r="U309" s="152" t="str">
        <f>+VLOOKUP($L309,Data_Validation!$A:$D,3,0)</f>
        <v>Service</v>
      </c>
      <c r="V309" s="152" t="str">
        <f>+VLOOKUP($L309,Data_Validation!$A:$D,4,0)</f>
        <v>fournitures autres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708" t="s">
        <v>1456</v>
      </c>
      <c r="B310" s="708" t="s">
        <v>684</v>
      </c>
      <c r="C310" s="710">
        <v>0</v>
      </c>
      <c r="D310" s="710">
        <v>5.82</v>
      </c>
      <c r="E310" s="710">
        <v>5.82</v>
      </c>
      <c r="F310" s="708" t="s">
        <v>2228</v>
      </c>
      <c r="G310" s="708" t="s">
        <v>2258</v>
      </c>
      <c r="H310" s="657" t="s">
        <v>3000</v>
      </c>
      <c r="I310" s="656"/>
      <c r="J310" s="656"/>
      <c r="K310" s="656"/>
      <c r="L310" s="149" t="str">
        <f t="shared" si="20"/>
        <v>61G</v>
      </c>
      <c r="M310" s="150" t="str">
        <f t="shared" si="21"/>
        <v>AUTRES FOURNITURES - PIECE BMW</v>
      </c>
      <c r="N310" s="151">
        <f>+IF(OR($Q310=Parametres!$G$2,$Q310=Parametres!$G$3),I310,C310)</f>
        <v>0</v>
      </c>
      <c r="O310" s="151">
        <f>+IF(OR($Q310=Parametres!$G$2,$Q310=Parametres!$G$3),J310,D310)</f>
        <v>5.82</v>
      </c>
      <c r="P310" s="151">
        <f>+IF(OR($Q310=Parametres!$G$2,$Q310=Parametres!$G$3),K310,E310)</f>
        <v>5.82</v>
      </c>
      <c r="Q310" s="150" t="str">
        <f t="shared" si="22"/>
        <v>7-Dépenses</v>
      </c>
      <c r="R310" s="149" t="str">
        <f t="shared" si="23"/>
        <v>61</v>
      </c>
      <c r="S310" s="150" t="str">
        <f t="shared" si="24"/>
        <v>_</v>
      </c>
      <c r="T310" s="152" t="str">
        <f>+VLOOKUP($L310,Data_Validation!$A:$D,1,0)</f>
        <v>61G</v>
      </c>
      <c r="U310" s="152" t="str">
        <f>+VLOOKUP($L310,Data_Validation!$A:$D,3,0)</f>
        <v>pièces</v>
      </c>
      <c r="V310" s="152" t="str">
        <f>+VLOOKUP($L310,Data_Validation!$A:$D,4,0)</f>
        <v>fournitures autres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customHeight="1">
      <c r="A311" s="708" t="s">
        <v>1197</v>
      </c>
      <c r="B311" s="708" t="s">
        <v>842</v>
      </c>
      <c r="C311" s="710">
        <v>0</v>
      </c>
      <c r="D311" s="710">
        <v>49.38</v>
      </c>
      <c r="E311" s="710">
        <v>49.38</v>
      </c>
      <c r="F311" s="708" t="s">
        <v>2228</v>
      </c>
      <c r="G311" s="708" t="s">
        <v>2265</v>
      </c>
      <c r="H311" s="664" t="s">
        <v>3000</v>
      </c>
      <c r="I311" s="663"/>
      <c r="J311" s="663"/>
      <c r="K311" s="663"/>
      <c r="L311" s="149" t="str">
        <f t="shared" si="20"/>
        <v>63E</v>
      </c>
      <c r="M311" s="150" t="str">
        <f t="shared" si="21"/>
        <v>AJUST. GARANTIE - SERV. BMW</v>
      </c>
      <c r="N311" s="151">
        <f>+IF(OR($Q311=Parametres!$G$2,$Q311=Parametres!$G$3),I311,C311)</f>
        <v>0</v>
      </c>
      <c r="O311" s="151">
        <f>+IF(OR($Q311=Parametres!$G$2,$Q311=Parametres!$G$3),J311,D311)</f>
        <v>49.38</v>
      </c>
      <c r="P311" s="151">
        <f>+IF(OR($Q311=Parametres!$G$2,$Q311=Parametres!$G$3),K311,E311)</f>
        <v>49.38</v>
      </c>
      <c r="Q311" s="150" t="str">
        <f t="shared" si="22"/>
        <v>7-Dépenses</v>
      </c>
      <c r="R311" s="149" t="str">
        <f t="shared" si="23"/>
        <v>63</v>
      </c>
      <c r="S311" s="150" t="str">
        <f t="shared" si="24"/>
        <v>_</v>
      </c>
      <c r="T311" s="152" t="str">
        <f>+VLOOKUP($L311,Data_Validation!$A:$D,1,0)</f>
        <v>63E</v>
      </c>
      <c r="U311" s="152" t="str">
        <f>+VLOOKUP($L311,Data_Validation!$A:$D,3,0)</f>
        <v>Service</v>
      </c>
      <c r="V311" s="152" t="str">
        <f>+VLOOKUP($L311,Data_Validation!$A:$D,4,0)</f>
        <v>service gratuit 2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708" t="s">
        <v>1649</v>
      </c>
      <c r="B312" s="708" t="s">
        <v>893</v>
      </c>
      <c r="C312" s="710">
        <v>0</v>
      </c>
      <c r="D312" s="710">
        <v>192</v>
      </c>
      <c r="E312" s="710">
        <v>192</v>
      </c>
      <c r="F312" s="708" t="s">
        <v>2228</v>
      </c>
      <c r="G312" s="708" t="s">
        <v>2257</v>
      </c>
      <c r="H312" s="657" t="s">
        <v>3000</v>
      </c>
      <c r="I312" s="656"/>
      <c r="J312" s="656"/>
      <c r="K312" s="656"/>
      <c r="L312" s="149" t="str">
        <f t="shared" si="20"/>
        <v>68C</v>
      </c>
      <c r="M312" s="150" t="str">
        <f t="shared" si="21"/>
        <v>TRAV. GRACIEUX - USAGE BMW</v>
      </c>
      <c r="N312" s="151">
        <f>+IF(OR($Q312=Parametres!$G$2,$Q312=Parametres!$G$3),I312,C312)</f>
        <v>0</v>
      </c>
      <c r="O312" s="151">
        <f>+IF(OR($Q312=Parametres!$G$2,$Q312=Parametres!$G$3),J312,D312)</f>
        <v>192</v>
      </c>
      <c r="P312" s="151">
        <f>+IF(OR($Q312=Parametres!$G$2,$Q312=Parametres!$G$3),K312,E312)</f>
        <v>192</v>
      </c>
      <c r="Q312" s="150" t="str">
        <f t="shared" si="22"/>
        <v>7-Dépenses</v>
      </c>
      <c r="R312" s="149" t="str">
        <f t="shared" si="23"/>
        <v>68</v>
      </c>
      <c r="S312" s="150" t="str">
        <f t="shared" si="24"/>
        <v>_</v>
      </c>
      <c r="T312" s="152" t="str">
        <f>+VLOOKUP($L312,Data_Validation!$A:$D,1,0)</f>
        <v>68C</v>
      </c>
      <c r="U312" s="152" t="str">
        <f>+VLOOKUP($L312,Data_Validation!$A:$D,3,0)</f>
        <v>Véhicules usagés</v>
      </c>
      <c r="V312" s="152" t="str">
        <f>+VLOOKUP($L312,Data_Validation!$A:$D,4,0)</f>
        <v>service gratuit 1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708" t="s">
        <v>1113</v>
      </c>
      <c r="B313" s="708" t="s">
        <v>929</v>
      </c>
      <c r="C313" s="709">
        <v>0</v>
      </c>
      <c r="D313" s="1274">
        <v>1025.8499999999999</v>
      </c>
      <c r="E313" s="1274">
        <v>1025.8499999999999</v>
      </c>
      <c r="F313" s="708" t="s">
        <v>2228</v>
      </c>
      <c r="G313" s="708" t="s">
        <v>2257</v>
      </c>
      <c r="H313" s="709" t="s">
        <v>3000</v>
      </c>
      <c r="I313" s="710"/>
      <c r="J313" s="710"/>
      <c r="K313" s="710"/>
      <c r="L313" s="149" t="str">
        <f t="shared" si="20"/>
        <v>68E</v>
      </c>
      <c r="M313" s="150" t="str">
        <f t="shared" si="21"/>
        <v>TRAV. GRACIEUX - SERV. BMW</v>
      </c>
      <c r="N313" s="151">
        <f>+IF(OR($Q313=Parametres!$G$2,$Q313=Parametres!$G$3),I313,C313)</f>
        <v>0</v>
      </c>
      <c r="O313" s="151">
        <f>+IF(OR($Q313=Parametres!$G$2,$Q313=Parametres!$G$3),J313,D313)</f>
        <v>1025.8499999999999</v>
      </c>
      <c r="P313" s="151">
        <f>+IF(OR($Q313=Parametres!$G$2,$Q313=Parametres!$G$3),K313,E313)</f>
        <v>1025.8499999999999</v>
      </c>
      <c r="Q313" s="150" t="str">
        <f t="shared" si="22"/>
        <v>7-Dépenses</v>
      </c>
      <c r="R313" s="149" t="str">
        <f t="shared" si="23"/>
        <v>68</v>
      </c>
      <c r="S313" s="150" t="str">
        <f t="shared" si="24"/>
        <v>_</v>
      </c>
      <c r="T313" s="152" t="str">
        <f>+VLOOKUP($L313,Data_Validation!$A:$D,1,0)</f>
        <v>68E</v>
      </c>
      <c r="U313" s="152" t="str">
        <f>+VLOOKUP($L313,Data_Validation!$A:$D,3,0)</f>
        <v>Service</v>
      </c>
      <c r="V313" s="152" t="str">
        <f>+VLOOKUP($L313,Data_Validation!$A:$D,4,0)</f>
        <v>service gratuit 2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708" t="s">
        <v>1640</v>
      </c>
      <c r="B314" s="708" t="s">
        <v>913</v>
      </c>
      <c r="C314" s="710">
        <v>0</v>
      </c>
      <c r="D314" s="710">
        <v>5491.56</v>
      </c>
      <c r="E314" s="710">
        <v>5491.56</v>
      </c>
      <c r="F314" s="708" t="s">
        <v>2228</v>
      </c>
      <c r="G314" s="708" t="s">
        <v>2284</v>
      </c>
      <c r="H314" s="664" t="s">
        <v>3000</v>
      </c>
      <c r="I314" s="663"/>
      <c r="J314" s="663"/>
      <c r="K314" s="663"/>
      <c r="L314" s="149" t="str">
        <f t="shared" si="20"/>
        <v>69A</v>
      </c>
      <c r="M314" s="150" t="str">
        <f t="shared" si="21"/>
        <v>FRAIS INFORMATIQUE - NEUF BMW</v>
      </c>
      <c r="N314" s="151">
        <f>+IF(OR($Q314=Parametres!$G$2,$Q314=Parametres!$G$3),I314,C314)</f>
        <v>0</v>
      </c>
      <c r="O314" s="151">
        <f>+IF(OR($Q314=Parametres!$G$2,$Q314=Parametres!$G$3),J314,D314)</f>
        <v>5491.56</v>
      </c>
      <c r="P314" s="151">
        <f>+IF(OR($Q314=Parametres!$G$2,$Q314=Parametres!$G$3),K314,E314)</f>
        <v>5491.56</v>
      </c>
      <c r="Q314" s="150" t="str">
        <f t="shared" si="22"/>
        <v>7-Dépenses</v>
      </c>
      <c r="R314" s="149" t="str">
        <f t="shared" si="23"/>
        <v>69</v>
      </c>
      <c r="S314" s="150" t="str">
        <f t="shared" si="24"/>
        <v>_</v>
      </c>
      <c r="T314" s="152" t="str">
        <f>+VLOOKUP($L314,Data_Validation!$A:$D,1,0)</f>
        <v>69A</v>
      </c>
      <c r="U314" s="152" t="str">
        <f>+VLOOKUP($L314,Data_Validation!$A:$D,3,0)</f>
        <v>Véhicules neufs</v>
      </c>
      <c r="V314" s="152" t="str">
        <f>+VLOOKUP($L314,Data_Validation!$A:$D,4,0)</f>
        <v>informatique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62" t="s">
        <v>1631</v>
      </c>
      <c r="B315" s="662" t="s">
        <v>876</v>
      </c>
      <c r="C315" s="663">
        <v>0</v>
      </c>
      <c r="D315" s="663">
        <v>1821.15</v>
      </c>
      <c r="E315" s="663">
        <v>1821.15</v>
      </c>
      <c r="F315" s="662" t="s">
        <v>2228</v>
      </c>
      <c r="G315" s="662" t="s">
        <v>2284</v>
      </c>
      <c r="H315" s="657" t="s">
        <v>3000</v>
      </c>
      <c r="I315" s="656"/>
      <c r="J315" s="656"/>
      <c r="K315" s="656"/>
      <c r="L315" s="149" t="str">
        <f t="shared" si="20"/>
        <v>69C</v>
      </c>
      <c r="M315" s="150" t="str">
        <f t="shared" si="21"/>
        <v>FRAIS INFORMATIQUE - USAGE BMW</v>
      </c>
      <c r="N315" s="151">
        <f>+IF(OR($Q315=Parametres!$G$2,$Q315=Parametres!$G$3),I315,C315)</f>
        <v>0</v>
      </c>
      <c r="O315" s="151">
        <f>+IF(OR($Q315=Parametres!$G$2,$Q315=Parametres!$G$3),J315,D315)</f>
        <v>1821.15</v>
      </c>
      <c r="P315" s="151">
        <f>+IF(OR($Q315=Parametres!$G$2,$Q315=Parametres!$G$3),K315,E315)</f>
        <v>1821.15</v>
      </c>
      <c r="Q315" s="150" t="str">
        <f t="shared" si="22"/>
        <v>7-Dépenses</v>
      </c>
      <c r="R315" s="149" t="str">
        <f t="shared" si="23"/>
        <v>69</v>
      </c>
      <c r="S315" s="150" t="str">
        <f t="shared" si="24"/>
        <v>_</v>
      </c>
      <c r="T315" s="152" t="str">
        <f>+VLOOKUP($L315,Data_Validation!$A:$D,1,0)</f>
        <v>69C</v>
      </c>
      <c r="U315" s="152" t="str">
        <f>+VLOOKUP($L315,Data_Validation!$A:$D,3,0)</f>
        <v>Véhicules usagés</v>
      </c>
      <c r="V315" s="152" t="str">
        <f>+VLOOKUP($L315,Data_Validation!$A:$D,4,0)</f>
        <v>informatique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62" t="s">
        <v>1766</v>
      </c>
      <c r="B316" s="662" t="s">
        <v>931</v>
      </c>
      <c r="C316" s="663">
        <v>0</v>
      </c>
      <c r="D316" s="663">
        <v>6047.78</v>
      </c>
      <c r="E316" s="663">
        <v>6047.78</v>
      </c>
      <c r="F316" s="662" t="s">
        <v>2228</v>
      </c>
      <c r="G316" s="662" t="s">
        <v>2284</v>
      </c>
      <c r="H316" s="657" t="s">
        <v>3000</v>
      </c>
      <c r="I316" s="656"/>
      <c r="J316" s="656"/>
      <c r="K316" s="656"/>
      <c r="L316" s="149" t="str">
        <f t="shared" si="20"/>
        <v>69E</v>
      </c>
      <c r="M316" s="150" t="str">
        <f t="shared" si="21"/>
        <v>FRAIS INFORMATIQUE - SERV. BMW</v>
      </c>
      <c r="N316" s="151">
        <f>+IF(OR($Q316=Parametres!$G$2,$Q316=Parametres!$G$3),I316,C316)</f>
        <v>0</v>
      </c>
      <c r="O316" s="151">
        <f>+IF(OR($Q316=Parametres!$G$2,$Q316=Parametres!$G$3),J316,D316)</f>
        <v>6047.78</v>
      </c>
      <c r="P316" s="151">
        <f>+IF(OR($Q316=Parametres!$G$2,$Q316=Parametres!$G$3),K316,E316)</f>
        <v>6047.78</v>
      </c>
      <c r="Q316" s="150" t="str">
        <f t="shared" si="22"/>
        <v>7-Dépenses</v>
      </c>
      <c r="R316" s="149" t="str">
        <f t="shared" si="23"/>
        <v>69</v>
      </c>
      <c r="S316" s="150" t="str">
        <f t="shared" si="24"/>
        <v>_</v>
      </c>
      <c r="T316" s="152" t="str">
        <f>+VLOOKUP($L316,Data_Validation!$A:$D,1,0)</f>
        <v>69E</v>
      </c>
      <c r="U316" s="152" t="str">
        <f>+VLOOKUP($L316,Data_Validation!$A:$D,3,0)</f>
        <v>Service</v>
      </c>
      <c r="V316" s="152" t="str">
        <f>+VLOOKUP($L316,Data_Validation!$A:$D,4,0)</f>
        <v>informatique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708" t="s">
        <v>1669</v>
      </c>
      <c r="B317" s="708" t="s">
        <v>884</v>
      </c>
      <c r="C317" s="709">
        <v>0</v>
      </c>
      <c r="D317" s="1274">
        <v>1887.1</v>
      </c>
      <c r="E317" s="1274">
        <v>1887.1</v>
      </c>
      <c r="F317" s="708" t="s">
        <v>2228</v>
      </c>
      <c r="G317" s="708" t="s">
        <v>2284</v>
      </c>
      <c r="H317" s="709" t="s">
        <v>3000</v>
      </c>
      <c r="I317" s="710"/>
      <c r="J317" s="710"/>
      <c r="K317" s="710"/>
      <c r="L317" s="149" t="str">
        <f t="shared" si="20"/>
        <v>69G</v>
      </c>
      <c r="M317" s="150" t="str">
        <f t="shared" si="21"/>
        <v>FRAIS INFORMATIQUE - PIECE BMW</v>
      </c>
      <c r="N317" s="151">
        <f>+IF(OR($Q317=Parametres!$G$2,$Q317=Parametres!$G$3),I317,C317)</f>
        <v>0</v>
      </c>
      <c r="O317" s="151">
        <f>+IF(OR($Q317=Parametres!$G$2,$Q317=Parametres!$G$3),J317,D317)</f>
        <v>1887.1</v>
      </c>
      <c r="P317" s="151">
        <f>+IF(OR($Q317=Parametres!$G$2,$Q317=Parametres!$G$3),K317,E317)</f>
        <v>1887.1</v>
      </c>
      <c r="Q317" s="150" t="str">
        <f t="shared" si="22"/>
        <v>7-Dépenses</v>
      </c>
      <c r="R317" s="149" t="str">
        <f t="shared" si="23"/>
        <v>69</v>
      </c>
      <c r="S317" s="150" t="str">
        <f t="shared" si="24"/>
        <v>_</v>
      </c>
      <c r="T317" s="152" t="str">
        <f>+VLOOKUP($L317,Data_Validation!$A:$D,1,0)</f>
        <v>69G</v>
      </c>
      <c r="U317" s="152" t="str">
        <f>+VLOOKUP($L317,Data_Validation!$A:$D,3,0)</f>
        <v>pièces</v>
      </c>
      <c r="V317" s="152" t="str">
        <f>+VLOOKUP($L317,Data_Validation!$A:$D,4,0)</f>
        <v>informatique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708" t="s">
        <v>1750</v>
      </c>
      <c r="B318" s="708" t="s">
        <v>959</v>
      </c>
      <c r="C318" s="709">
        <v>0</v>
      </c>
      <c r="D318" s="1274">
        <v>4998.7700000000004</v>
      </c>
      <c r="E318" s="1274">
        <v>4998.7700000000004</v>
      </c>
      <c r="F318" s="708" t="s">
        <v>2228</v>
      </c>
      <c r="G318" s="708" t="s">
        <v>2281</v>
      </c>
      <c r="H318" s="709" t="s">
        <v>3000</v>
      </c>
      <c r="I318" s="710"/>
      <c r="J318" s="710"/>
      <c r="K318" s="710"/>
      <c r="L318" s="149" t="str">
        <f t="shared" si="20"/>
        <v>70A</v>
      </c>
      <c r="M318" s="150" t="str">
        <f t="shared" si="21"/>
        <v>SERV. EXTERIEURS - NEUF BMW</v>
      </c>
      <c r="N318" s="151">
        <f>+IF(OR($Q318=Parametres!$G$2,$Q318=Parametres!$G$3),I318,C318)</f>
        <v>0</v>
      </c>
      <c r="O318" s="151">
        <f>+IF(OR($Q318=Parametres!$G$2,$Q318=Parametres!$G$3),J318,D318)</f>
        <v>4998.7700000000004</v>
      </c>
      <c r="P318" s="151">
        <f>+IF(OR($Q318=Parametres!$G$2,$Q318=Parametres!$G$3),K318,E318)</f>
        <v>4998.7700000000004</v>
      </c>
      <c r="Q318" s="150" t="str">
        <f t="shared" si="22"/>
        <v>7-Dépenses</v>
      </c>
      <c r="R318" s="149" t="str">
        <f t="shared" si="23"/>
        <v>70</v>
      </c>
      <c r="S318" s="150" t="str">
        <f t="shared" si="24"/>
        <v>_</v>
      </c>
      <c r="T318" s="152" t="str">
        <f>+VLOOKUP($L318,Data_Validation!$A:$D,1,0)</f>
        <v>70A</v>
      </c>
      <c r="U318" s="152" t="str">
        <f>+VLOOKUP($L318,Data_Validation!$A:$D,3,0)</f>
        <v>Véhicules neufs</v>
      </c>
      <c r="V318" s="152" t="str">
        <f>+VLOOKUP($L318,Data_Validation!$A:$D,4,0)</f>
        <v>services extérieurs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62" t="s">
        <v>1674</v>
      </c>
      <c r="B319" s="662" t="s">
        <v>851</v>
      </c>
      <c r="C319" s="663">
        <v>0</v>
      </c>
      <c r="D319" s="663">
        <v>1124.04</v>
      </c>
      <c r="E319" s="663">
        <v>1124.04</v>
      </c>
      <c r="F319" s="662" t="s">
        <v>2228</v>
      </c>
      <c r="G319" s="662" t="s">
        <v>2281</v>
      </c>
      <c r="H319" s="657" t="s">
        <v>3000</v>
      </c>
      <c r="I319" s="656"/>
      <c r="J319" s="656"/>
      <c r="K319" s="656"/>
      <c r="L319" s="149" t="str">
        <f t="shared" si="20"/>
        <v>70C</v>
      </c>
      <c r="M319" s="150" t="str">
        <f t="shared" si="21"/>
        <v>SERV. EXTERIEURS - USAGE BMW</v>
      </c>
      <c r="N319" s="151">
        <f>+IF(OR($Q319=Parametres!$G$2,$Q319=Parametres!$G$3),I319,C319)</f>
        <v>0</v>
      </c>
      <c r="O319" s="151">
        <f>+IF(OR($Q319=Parametres!$G$2,$Q319=Parametres!$G$3),J319,D319)</f>
        <v>1124.04</v>
      </c>
      <c r="P319" s="151">
        <f>+IF(OR($Q319=Parametres!$G$2,$Q319=Parametres!$G$3),K319,E319)</f>
        <v>1124.04</v>
      </c>
      <c r="Q319" s="150" t="str">
        <f t="shared" si="22"/>
        <v>7-Dépenses</v>
      </c>
      <c r="R319" s="149" t="str">
        <f t="shared" si="23"/>
        <v>70</v>
      </c>
      <c r="S319" s="150" t="str">
        <f t="shared" si="24"/>
        <v>_</v>
      </c>
      <c r="T319" s="152" t="str">
        <f>+VLOOKUP($L319,Data_Validation!$A:$D,1,0)</f>
        <v>70C</v>
      </c>
      <c r="U319" s="152" t="str">
        <f>+VLOOKUP($L319,Data_Validation!$A:$D,3,0)</f>
        <v>Véhicules usagés</v>
      </c>
      <c r="V319" s="152" t="str">
        <f>+VLOOKUP($L319,Data_Validation!$A:$D,4,0)</f>
        <v>services extérieurs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708" t="s">
        <v>1799</v>
      </c>
      <c r="B320" s="708" t="s">
        <v>933</v>
      </c>
      <c r="C320" s="709">
        <v>0</v>
      </c>
      <c r="D320" s="1274">
        <v>6111.57</v>
      </c>
      <c r="E320" s="1274">
        <v>6111.57</v>
      </c>
      <c r="F320" s="708" t="s">
        <v>2228</v>
      </c>
      <c r="G320" s="708" t="s">
        <v>2281</v>
      </c>
      <c r="H320" s="709" t="s">
        <v>3000</v>
      </c>
      <c r="I320" s="710"/>
      <c r="J320" s="710"/>
      <c r="K320" s="710"/>
      <c r="L320" s="149" t="str">
        <f t="shared" si="20"/>
        <v>70E</v>
      </c>
      <c r="M320" s="150" t="str">
        <f t="shared" si="21"/>
        <v>SERV. EXTERIEURS - SERV. BMW</v>
      </c>
      <c r="N320" s="151">
        <f>+IF(OR($Q320=Parametres!$G$2,$Q320=Parametres!$G$3),I320,C320)</f>
        <v>0</v>
      </c>
      <c r="O320" s="151">
        <f>+IF(OR($Q320=Parametres!$G$2,$Q320=Parametres!$G$3),J320,D320)</f>
        <v>6111.57</v>
      </c>
      <c r="P320" s="151">
        <f>+IF(OR($Q320=Parametres!$G$2,$Q320=Parametres!$G$3),K320,E320)</f>
        <v>6111.57</v>
      </c>
      <c r="Q320" s="150" t="str">
        <f t="shared" si="22"/>
        <v>7-Dépenses</v>
      </c>
      <c r="R320" s="149" t="str">
        <f t="shared" si="23"/>
        <v>70</v>
      </c>
      <c r="S320" s="150" t="str">
        <f t="shared" si="24"/>
        <v>_</v>
      </c>
      <c r="T320" s="152" t="str">
        <f>+VLOOKUP($L320,Data_Validation!$A:$D,1,0)</f>
        <v>70E</v>
      </c>
      <c r="U320" s="152" t="str">
        <f>+VLOOKUP($L320,Data_Validation!$A:$D,3,0)</f>
        <v>Service</v>
      </c>
      <c r="V320" s="152" t="str">
        <f>+VLOOKUP($L320,Data_Validation!$A:$D,4,0)</f>
        <v>services extérieurs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708" t="s">
        <v>1734</v>
      </c>
      <c r="B321" s="708" t="s">
        <v>920</v>
      </c>
      <c r="C321" s="710">
        <v>0</v>
      </c>
      <c r="D321" s="710">
        <v>2208.42</v>
      </c>
      <c r="E321" s="710">
        <v>2208.42</v>
      </c>
      <c r="F321" s="708" t="s">
        <v>2228</v>
      </c>
      <c r="G321" s="708" t="s">
        <v>2281</v>
      </c>
      <c r="H321" s="664" t="s">
        <v>3000</v>
      </c>
      <c r="I321" s="663"/>
      <c r="J321" s="663"/>
      <c r="K321" s="663"/>
      <c r="L321" s="149" t="str">
        <f t="shared" si="20"/>
        <v>70G</v>
      </c>
      <c r="M321" s="150" t="str">
        <f t="shared" si="21"/>
        <v>SERV. EXTERIEURS - PIECE BMW</v>
      </c>
      <c r="N321" s="151">
        <f>+IF(OR($Q321=Parametres!$G$2,$Q321=Parametres!$G$3),I321,C321)</f>
        <v>0</v>
      </c>
      <c r="O321" s="151">
        <f>+IF(OR($Q321=Parametres!$G$2,$Q321=Parametres!$G$3),J321,D321)</f>
        <v>2208.42</v>
      </c>
      <c r="P321" s="151">
        <f>+IF(OR($Q321=Parametres!$G$2,$Q321=Parametres!$G$3),K321,E321)</f>
        <v>2208.42</v>
      </c>
      <c r="Q321" s="150" t="str">
        <f t="shared" si="22"/>
        <v>7-Dépenses</v>
      </c>
      <c r="R321" s="149" t="str">
        <f t="shared" si="23"/>
        <v>70</v>
      </c>
      <c r="S321" s="150" t="str">
        <f t="shared" si="24"/>
        <v>_</v>
      </c>
      <c r="T321" s="152" t="str">
        <f>+VLOOKUP($L321,Data_Validation!$A:$D,1,0)</f>
        <v>70G</v>
      </c>
      <c r="U321" s="152" t="str">
        <f>+VLOOKUP($L321,Data_Validation!$A:$D,3,0)</f>
        <v>pièces</v>
      </c>
      <c r="V321" s="152" t="str">
        <f>+VLOOKUP($L321,Data_Validation!$A:$D,4,0)</f>
        <v>services extérieurs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708" t="s">
        <v>1156</v>
      </c>
      <c r="B322" s="708" t="s">
        <v>800</v>
      </c>
      <c r="C322" s="710">
        <v>0</v>
      </c>
      <c r="D322" s="710">
        <v>229.19</v>
      </c>
      <c r="E322" s="710">
        <v>229.19</v>
      </c>
      <c r="F322" s="708" t="s">
        <v>2228</v>
      </c>
      <c r="G322" s="708" t="s">
        <v>2266</v>
      </c>
      <c r="H322" s="664" t="s">
        <v>3000</v>
      </c>
      <c r="I322" s="663"/>
      <c r="J322" s="663"/>
      <c r="K322" s="663"/>
      <c r="L322" s="149" t="str">
        <f t="shared" ref="L322:L385" si="25">+B322</f>
        <v>71A</v>
      </c>
      <c r="M322" s="150" t="str">
        <f t="shared" ref="M322:M385" si="26">+A322</f>
        <v>FRAIS REPRESENTATION - NEUF BMW</v>
      </c>
      <c r="N322" s="151">
        <f>+IF(OR($Q322=Parametres!$G$2,$Q322=Parametres!$G$3),I322,C322)</f>
        <v>0</v>
      </c>
      <c r="O322" s="151">
        <f>+IF(OR($Q322=Parametres!$G$2,$Q322=Parametres!$G$3),J322,D322)</f>
        <v>229.19</v>
      </c>
      <c r="P322" s="151">
        <f>+IF(OR($Q322=Parametres!$G$2,$Q322=Parametres!$G$3),K322,E322)</f>
        <v>229.19</v>
      </c>
      <c r="Q322" s="150" t="str">
        <f t="shared" ref="Q322:Q385" si="27">+F322</f>
        <v>7-Dépenses</v>
      </c>
      <c r="R322" s="149" t="str">
        <f t="shared" ref="R322:R385" si="28">+G322</f>
        <v>71</v>
      </c>
      <c r="S322" s="150" t="str">
        <f t="shared" ref="S322:S385" si="29">+H322</f>
        <v>_</v>
      </c>
      <c r="T322" s="152" t="str">
        <f>+VLOOKUP($L322,Data_Validation!$A:$D,1,0)</f>
        <v>71A</v>
      </c>
      <c r="U322" s="152" t="str">
        <f>+VLOOKUP($L322,Data_Validation!$A:$D,3,0)</f>
        <v>Véhicules neufs</v>
      </c>
      <c r="V322" s="152" t="str">
        <f>+VLOOKUP($L322,Data_Validation!$A:$D,4,0)</f>
        <v>Frais de déplacement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708" t="s">
        <v>1201</v>
      </c>
      <c r="B323" s="708" t="s">
        <v>796</v>
      </c>
      <c r="C323" s="709">
        <v>0</v>
      </c>
      <c r="D323" s="1274">
        <v>50.94</v>
      </c>
      <c r="E323" s="1274">
        <v>50.94</v>
      </c>
      <c r="F323" s="708" t="s">
        <v>2228</v>
      </c>
      <c r="G323" s="708" t="s">
        <v>2266</v>
      </c>
      <c r="H323" s="709" t="s">
        <v>3000</v>
      </c>
      <c r="I323" s="710"/>
      <c r="J323" s="710"/>
      <c r="K323" s="710"/>
      <c r="L323" s="149" t="str">
        <f t="shared" si="25"/>
        <v>71C</v>
      </c>
      <c r="M323" s="150" t="str">
        <f t="shared" si="26"/>
        <v>FRAIS REPRESENTATION - USAGE BMW</v>
      </c>
      <c r="N323" s="151">
        <f>+IF(OR($Q323=Parametres!$G$2,$Q323=Parametres!$G$3),I323,C323)</f>
        <v>0</v>
      </c>
      <c r="O323" s="151">
        <f>+IF(OR($Q323=Parametres!$G$2,$Q323=Parametres!$G$3),J323,D323)</f>
        <v>50.94</v>
      </c>
      <c r="P323" s="151">
        <f>+IF(OR($Q323=Parametres!$G$2,$Q323=Parametres!$G$3),K323,E323)</f>
        <v>50.94</v>
      </c>
      <c r="Q323" s="150" t="str">
        <f t="shared" si="27"/>
        <v>7-Dépenses</v>
      </c>
      <c r="R323" s="149" t="str">
        <f t="shared" si="28"/>
        <v>71</v>
      </c>
      <c r="S323" s="150" t="str">
        <f t="shared" si="29"/>
        <v>_</v>
      </c>
      <c r="T323" s="152" t="str">
        <f>+VLOOKUP($L323,Data_Validation!$A:$D,1,0)</f>
        <v>71C</v>
      </c>
      <c r="U323" s="152" t="str">
        <f>+VLOOKUP($L323,Data_Validation!$A:$D,3,0)</f>
        <v>Véhicules usagés</v>
      </c>
      <c r="V323" s="152" t="str">
        <f>+VLOOKUP($L323,Data_Validation!$A:$D,4,0)</f>
        <v>Frais de déplacement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708" t="s">
        <v>1182</v>
      </c>
      <c r="B324" s="708" t="s">
        <v>790</v>
      </c>
      <c r="C324" s="709">
        <v>0</v>
      </c>
      <c r="D324" s="1274">
        <v>249.84</v>
      </c>
      <c r="E324" s="1274">
        <v>249.84</v>
      </c>
      <c r="F324" s="708" t="s">
        <v>2228</v>
      </c>
      <c r="G324" s="708" t="s">
        <v>2266</v>
      </c>
      <c r="H324" s="709" t="s">
        <v>3000</v>
      </c>
      <c r="I324" s="710"/>
      <c r="J324" s="710"/>
      <c r="K324" s="710"/>
      <c r="L324" s="149" t="str">
        <f t="shared" si="25"/>
        <v>71E</v>
      </c>
      <c r="M324" s="150" t="str">
        <f t="shared" si="26"/>
        <v>FRAIS REPRESENTATION - SERV. BMW</v>
      </c>
      <c r="N324" s="151">
        <f>+IF(OR($Q324=Parametres!$G$2,$Q324=Parametres!$G$3),I324,C324)</f>
        <v>0</v>
      </c>
      <c r="O324" s="151">
        <f>+IF(OR($Q324=Parametres!$G$2,$Q324=Parametres!$G$3),J324,D324)</f>
        <v>249.84</v>
      </c>
      <c r="P324" s="151">
        <f>+IF(OR($Q324=Parametres!$G$2,$Q324=Parametres!$G$3),K324,E324)</f>
        <v>249.84</v>
      </c>
      <c r="Q324" s="150" t="str">
        <f t="shared" si="27"/>
        <v>7-Dépenses</v>
      </c>
      <c r="R324" s="149" t="str">
        <f t="shared" si="28"/>
        <v>71</v>
      </c>
      <c r="S324" s="150" t="str">
        <f t="shared" si="29"/>
        <v>_</v>
      </c>
      <c r="T324" s="152" t="str">
        <f>+VLOOKUP($L324,Data_Validation!$A:$D,1,0)</f>
        <v>71E</v>
      </c>
      <c r="U324" s="152" t="str">
        <f>+VLOOKUP($L324,Data_Validation!$A:$D,3,0)</f>
        <v>Service</v>
      </c>
      <c r="V324" s="152" t="str">
        <f>+VLOOKUP($L324,Data_Validation!$A:$D,4,0)</f>
        <v>Frais de déplacement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62" t="s">
        <v>1180</v>
      </c>
      <c r="B325" s="662" t="s">
        <v>778</v>
      </c>
      <c r="C325" s="663">
        <v>0</v>
      </c>
      <c r="D325" s="663">
        <v>101.82</v>
      </c>
      <c r="E325" s="663">
        <v>101.82</v>
      </c>
      <c r="F325" s="662" t="s">
        <v>2228</v>
      </c>
      <c r="G325" s="662" t="s">
        <v>2266</v>
      </c>
      <c r="H325" s="657" t="s">
        <v>3000</v>
      </c>
      <c r="I325" s="656"/>
      <c r="J325" s="656"/>
      <c r="K325" s="656"/>
      <c r="L325" s="149" t="str">
        <f t="shared" si="25"/>
        <v>71G</v>
      </c>
      <c r="M325" s="150" t="str">
        <f t="shared" si="26"/>
        <v>FRAIS REPRESENTATION - PIECE BMW</v>
      </c>
      <c r="N325" s="151">
        <f>+IF(OR($Q325=Parametres!$G$2,$Q325=Parametres!$G$3),I325,C325)</f>
        <v>0</v>
      </c>
      <c r="O325" s="151">
        <f>+IF(OR($Q325=Parametres!$G$2,$Q325=Parametres!$G$3),J325,D325)</f>
        <v>101.82</v>
      </c>
      <c r="P325" s="151">
        <f>+IF(OR($Q325=Parametres!$G$2,$Q325=Parametres!$G$3),K325,E325)</f>
        <v>101.82</v>
      </c>
      <c r="Q325" s="150" t="str">
        <f t="shared" si="27"/>
        <v>7-Dépenses</v>
      </c>
      <c r="R325" s="149" t="str">
        <f t="shared" si="28"/>
        <v>71</v>
      </c>
      <c r="S325" s="150" t="str">
        <f t="shared" si="29"/>
        <v>_</v>
      </c>
      <c r="T325" s="152" t="str">
        <f>+VLOOKUP($L325,Data_Validation!$A:$D,1,0)</f>
        <v>71G</v>
      </c>
      <c r="U325" s="152" t="str">
        <f>+VLOOKUP($L325,Data_Validation!$A:$D,3,0)</f>
        <v>pièces</v>
      </c>
      <c r="V325" s="152" t="str">
        <f>+VLOOKUP($L325,Data_Validation!$A:$D,4,0)</f>
        <v>Frais de déplacement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708" t="s">
        <v>1233</v>
      </c>
      <c r="B326" s="708" t="s">
        <v>808</v>
      </c>
      <c r="C326" s="710">
        <v>0</v>
      </c>
      <c r="D326" s="710">
        <v>203.99</v>
      </c>
      <c r="E326" s="710">
        <v>203.99</v>
      </c>
      <c r="F326" s="708" t="s">
        <v>2228</v>
      </c>
      <c r="G326" s="708" t="s">
        <v>2263</v>
      </c>
      <c r="H326" s="664" t="s">
        <v>3000</v>
      </c>
      <c r="I326" s="663"/>
      <c r="J326" s="663"/>
      <c r="K326" s="663"/>
      <c r="L326" s="149" t="str">
        <f t="shared" si="25"/>
        <v>72A</v>
      </c>
      <c r="M326" s="150" t="str">
        <f t="shared" si="26"/>
        <v>COTIS. &amp; ABONN. - NEUF BMW</v>
      </c>
      <c r="N326" s="151">
        <f>+IF(OR($Q326=Parametres!$G$2,$Q326=Parametres!$G$3),I326,C326)</f>
        <v>0</v>
      </c>
      <c r="O326" s="151">
        <f>+IF(OR($Q326=Parametres!$G$2,$Q326=Parametres!$G$3),J326,D326)</f>
        <v>203.99</v>
      </c>
      <c r="P326" s="151">
        <f>+IF(OR($Q326=Parametres!$G$2,$Q326=Parametres!$G$3),K326,E326)</f>
        <v>203.99</v>
      </c>
      <c r="Q326" s="150" t="str">
        <f t="shared" si="27"/>
        <v>7-Dépenses</v>
      </c>
      <c r="R326" s="149" t="str">
        <f t="shared" si="28"/>
        <v>72</v>
      </c>
      <c r="S326" s="150" t="str">
        <f t="shared" si="29"/>
        <v>_</v>
      </c>
      <c r="T326" s="152" t="str">
        <f>+VLOOKUP($L326,Data_Validation!$A:$D,1,0)</f>
        <v>72A</v>
      </c>
      <c r="U326" s="152" t="str">
        <f>+VLOOKUP($L326,Data_Validation!$A:$D,3,0)</f>
        <v>Véhicules neufs</v>
      </c>
      <c r="V326" s="152" t="str">
        <f>+VLOOKUP($L326,Data_Validation!$A:$D,4,0)</f>
        <v>divers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708" t="s">
        <v>1239</v>
      </c>
      <c r="B327" s="708" t="s">
        <v>776</v>
      </c>
      <c r="C327" s="709">
        <v>0</v>
      </c>
      <c r="D327" s="709">
        <v>136</v>
      </c>
      <c r="E327" s="709">
        <v>136</v>
      </c>
      <c r="F327" s="708" t="s">
        <v>2228</v>
      </c>
      <c r="G327" s="708" t="s">
        <v>2263</v>
      </c>
      <c r="H327" s="709" t="s">
        <v>3000</v>
      </c>
      <c r="I327" s="710"/>
      <c r="J327" s="710"/>
      <c r="K327" s="710"/>
      <c r="L327" s="149" t="str">
        <f t="shared" si="25"/>
        <v>72C</v>
      </c>
      <c r="M327" s="150" t="str">
        <f t="shared" si="26"/>
        <v>COTIS. &amp; ABONN. - USAGE BMW</v>
      </c>
      <c r="N327" s="151">
        <f>+IF(OR($Q327=Parametres!$G$2,$Q327=Parametres!$G$3),I327,C327)</f>
        <v>0</v>
      </c>
      <c r="O327" s="151">
        <f>+IF(OR($Q327=Parametres!$G$2,$Q327=Parametres!$G$3),J327,D327)</f>
        <v>136</v>
      </c>
      <c r="P327" s="151">
        <f>+IF(OR($Q327=Parametres!$G$2,$Q327=Parametres!$G$3),K327,E327)</f>
        <v>136</v>
      </c>
      <c r="Q327" s="150" t="str">
        <f t="shared" si="27"/>
        <v>7-Dépenses</v>
      </c>
      <c r="R327" s="149" t="str">
        <f t="shared" si="28"/>
        <v>72</v>
      </c>
      <c r="S327" s="150" t="str">
        <f t="shared" si="29"/>
        <v>_</v>
      </c>
      <c r="T327" s="152" t="str">
        <f>+VLOOKUP($L327,Data_Validation!$A:$D,1,0)</f>
        <v>72C</v>
      </c>
      <c r="U327" s="152" t="str">
        <f>+VLOOKUP($L327,Data_Validation!$A:$D,3,0)</f>
        <v>Véhicules usagés</v>
      </c>
      <c r="V327" s="152" t="str">
        <f>+VLOOKUP($L327,Data_Validation!$A:$D,4,0)</f>
        <v>divers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708" t="s">
        <v>1730</v>
      </c>
      <c r="B328" s="708" t="s">
        <v>926</v>
      </c>
      <c r="C328" s="710">
        <v>0</v>
      </c>
      <c r="D328" s="710">
        <v>2301.85</v>
      </c>
      <c r="E328" s="710">
        <v>2301.85</v>
      </c>
      <c r="F328" s="708" t="s">
        <v>2228</v>
      </c>
      <c r="G328" s="708" t="s">
        <v>2282</v>
      </c>
      <c r="H328" s="664" t="s">
        <v>3000</v>
      </c>
      <c r="I328" s="663"/>
      <c r="J328" s="663"/>
      <c r="K328" s="663"/>
      <c r="L328" s="149" t="str">
        <f t="shared" si="25"/>
        <v>73A</v>
      </c>
      <c r="M328" s="150" t="str">
        <f t="shared" si="26"/>
        <v>REMISE CARTE CREDIT - NEUF BMW</v>
      </c>
      <c r="N328" s="151">
        <f>+IF(OR($Q328=Parametres!$G$2,$Q328=Parametres!$G$3),I328,C328)</f>
        <v>0</v>
      </c>
      <c r="O328" s="151">
        <f>+IF(OR($Q328=Parametres!$G$2,$Q328=Parametres!$G$3),J328,D328)</f>
        <v>2301.85</v>
      </c>
      <c r="P328" s="151">
        <f>+IF(OR($Q328=Parametres!$G$2,$Q328=Parametres!$G$3),K328,E328)</f>
        <v>2301.85</v>
      </c>
      <c r="Q328" s="150" t="str">
        <f t="shared" si="27"/>
        <v>7-Dépenses</v>
      </c>
      <c r="R328" s="149" t="str">
        <f t="shared" si="28"/>
        <v>73</v>
      </c>
      <c r="S328" s="150" t="str">
        <f t="shared" si="29"/>
        <v>_</v>
      </c>
      <c r="T328" s="152" t="str">
        <f>+VLOOKUP($L328,Data_Validation!$A:$D,1,0)</f>
        <v>73A</v>
      </c>
      <c r="U328" s="152" t="str">
        <f>+VLOOKUP($L328,Data_Validation!$A:$D,3,0)</f>
        <v>Véhicules neufs</v>
      </c>
      <c r="V328" s="152" t="str">
        <f>+VLOOKUP($L328,Data_Validation!$A:$D,4,0)</f>
        <v>frais bancaires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708" t="s">
        <v>1667</v>
      </c>
      <c r="B329" s="708" t="s">
        <v>863</v>
      </c>
      <c r="C329" s="710">
        <v>0</v>
      </c>
      <c r="D329" s="710">
        <v>511.52</v>
      </c>
      <c r="E329" s="710">
        <v>511.52</v>
      </c>
      <c r="F329" s="708" t="s">
        <v>2228</v>
      </c>
      <c r="G329" s="708" t="s">
        <v>2282</v>
      </c>
      <c r="H329" s="664" t="s">
        <v>3000</v>
      </c>
      <c r="I329" s="663"/>
      <c r="J329" s="663"/>
      <c r="K329" s="663"/>
      <c r="L329" s="149" t="str">
        <f t="shared" si="25"/>
        <v>73C</v>
      </c>
      <c r="M329" s="150" t="str">
        <f t="shared" si="26"/>
        <v>REMISE CARTE CREDIT - USAGE BMW</v>
      </c>
      <c r="N329" s="151">
        <f>+IF(OR($Q329=Parametres!$G$2,$Q329=Parametres!$G$3),I329,C329)</f>
        <v>0</v>
      </c>
      <c r="O329" s="151">
        <f>+IF(OR($Q329=Parametres!$G$2,$Q329=Parametres!$G$3),J329,D329)</f>
        <v>511.52</v>
      </c>
      <c r="P329" s="151">
        <f>+IF(OR($Q329=Parametres!$G$2,$Q329=Parametres!$G$3),K329,E329)</f>
        <v>511.52</v>
      </c>
      <c r="Q329" s="150" t="str">
        <f t="shared" si="27"/>
        <v>7-Dépenses</v>
      </c>
      <c r="R329" s="149" t="str">
        <f t="shared" si="28"/>
        <v>73</v>
      </c>
      <c r="S329" s="150" t="str">
        <f t="shared" si="29"/>
        <v>_</v>
      </c>
      <c r="T329" s="152" t="str">
        <f>+VLOOKUP($L329,Data_Validation!$A:$D,1,0)</f>
        <v>73C</v>
      </c>
      <c r="U329" s="152" t="str">
        <f>+VLOOKUP($L329,Data_Validation!$A:$D,3,0)</f>
        <v>Véhicules usagés</v>
      </c>
      <c r="V329" s="152" t="str">
        <f>+VLOOKUP($L329,Data_Validation!$A:$D,4,0)</f>
        <v>frais bancaires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708" t="s">
        <v>1692</v>
      </c>
      <c r="B330" s="708" t="s">
        <v>899</v>
      </c>
      <c r="C330" s="709">
        <v>0</v>
      </c>
      <c r="D330" s="1274">
        <v>1278.81</v>
      </c>
      <c r="E330" s="1274">
        <v>1278.81</v>
      </c>
      <c r="F330" s="708" t="s">
        <v>2228</v>
      </c>
      <c r="G330" s="708" t="s">
        <v>2282</v>
      </c>
      <c r="H330" s="709" t="s">
        <v>3000</v>
      </c>
      <c r="I330" s="710"/>
      <c r="J330" s="710"/>
      <c r="K330" s="710"/>
      <c r="L330" s="149" t="str">
        <f t="shared" si="25"/>
        <v>73E</v>
      </c>
      <c r="M330" s="150" t="str">
        <f t="shared" si="26"/>
        <v>REMISE CARTE CREDIT - SERV. BMW</v>
      </c>
      <c r="N330" s="151">
        <f>+IF(OR($Q330=Parametres!$G$2,$Q330=Parametres!$G$3),I330,C330)</f>
        <v>0</v>
      </c>
      <c r="O330" s="151">
        <f>+IF(OR($Q330=Parametres!$G$2,$Q330=Parametres!$G$3),J330,D330)</f>
        <v>1278.81</v>
      </c>
      <c r="P330" s="151">
        <f>+IF(OR($Q330=Parametres!$G$2,$Q330=Parametres!$G$3),K330,E330)</f>
        <v>1278.81</v>
      </c>
      <c r="Q330" s="150" t="str">
        <f t="shared" si="27"/>
        <v>7-Dépenses</v>
      </c>
      <c r="R330" s="149" t="str">
        <f t="shared" si="28"/>
        <v>73</v>
      </c>
      <c r="S330" s="150" t="str">
        <f t="shared" si="29"/>
        <v>_</v>
      </c>
      <c r="T330" s="152" t="str">
        <f>+VLOOKUP($L330,Data_Validation!$A:$D,1,0)</f>
        <v>73E</v>
      </c>
      <c r="U330" s="152" t="str">
        <f>+VLOOKUP($L330,Data_Validation!$A:$D,3,0)</f>
        <v>Service</v>
      </c>
      <c r="V330" s="152" t="str">
        <f>+VLOOKUP($L330,Data_Validation!$A:$D,4,0)</f>
        <v>frais bancaires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708" t="s">
        <v>1690</v>
      </c>
      <c r="B331" s="708" t="s">
        <v>891</v>
      </c>
      <c r="C331" s="710">
        <v>0</v>
      </c>
      <c r="D331" s="710">
        <v>1023</v>
      </c>
      <c r="E331" s="710">
        <v>1023</v>
      </c>
      <c r="F331" s="708" t="s">
        <v>2228</v>
      </c>
      <c r="G331" s="708" t="s">
        <v>2282</v>
      </c>
      <c r="H331" s="664" t="s">
        <v>3000</v>
      </c>
      <c r="I331" s="663"/>
      <c r="J331" s="663"/>
      <c r="K331" s="663"/>
      <c r="L331" s="149" t="str">
        <f t="shared" si="25"/>
        <v>73G</v>
      </c>
      <c r="M331" s="150" t="str">
        <f t="shared" si="26"/>
        <v>REMISE CARTE CREDIT - PIECE BMW</v>
      </c>
      <c r="N331" s="151">
        <f>+IF(OR($Q331=Parametres!$G$2,$Q331=Parametres!$G$3),I331,C331)</f>
        <v>0</v>
      </c>
      <c r="O331" s="151">
        <f>+IF(OR($Q331=Parametres!$G$2,$Q331=Parametres!$G$3),J331,D331)</f>
        <v>1023</v>
      </c>
      <c r="P331" s="151">
        <f>+IF(OR($Q331=Parametres!$G$2,$Q331=Parametres!$G$3),K331,E331)</f>
        <v>1023</v>
      </c>
      <c r="Q331" s="150" t="str">
        <f t="shared" si="27"/>
        <v>7-Dépenses</v>
      </c>
      <c r="R331" s="149" t="str">
        <f t="shared" si="28"/>
        <v>73</v>
      </c>
      <c r="S331" s="150" t="str">
        <f t="shared" si="29"/>
        <v>_</v>
      </c>
      <c r="T331" s="152" t="str">
        <f>+VLOOKUP($L331,Data_Validation!$A:$D,1,0)</f>
        <v>73G</v>
      </c>
      <c r="U331" s="152" t="str">
        <f>+VLOOKUP($L331,Data_Validation!$A:$D,3,0)</f>
        <v>pièces</v>
      </c>
      <c r="V331" s="152" t="str">
        <f>+VLOOKUP($L331,Data_Validation!$A:$D,4,0)</f>
        <v>frais bancaires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62" t="s">
        <v>1671</v>
      </c>
      <c r="B332" s="662" t="s">
        <v>834</v>
      </c>
      <c r="C332" s="663">
        <v>0</v>
      </c>
      <c r="D332" s="663">
        <v>350.52</v>
      </c>
      <c r="E332" s="663">
        <v>350.52</v>
      </c>
      <c r="F332" s="662" t="s">
        <v>2228</v>
      </c>
      <c r="G332" s="662" t="s">
        <v>2259</v>
      </c>
      <c r="H332" s="657" t="s">
        <v>3000</v>
      </c>
      <c r="I332" s="656"/>
      <c r="J332" s="656"/>
      <c r="K332" s="656"/>
      <c r="L332" s="149" t="str">
        <f t="shared" si="25"/>
        <v>75A</v>
      </c>
      <c r="M332" s="150" t="str">
        <f t="shared" si="26"/>
        <v>TELEPHONE - NEUF BMW</v>
      </c>
      <c r="N332" s="151">
        <f>+IF(OR($Q332=Parametres!$G$2,$Q332=Parametres!$G$3),I332,C332)</f>
        <v>0</v>
      </c>
      <c r="O332" s="151">
        <f>+IF(OR($Q332=Parametres!$G$2,$Q332=Parametres!$G$3),J332,D332)</f>
        <v>350.52</v>
      </c>
      <c r="P332" s="151">
        <f>+IF(OR($Q332=Parametres!$G$2,$Q332=Parametres!$G$3),K332,E332)</f>
        <v>350.52</v>
      </c>
      <c r="Q332" s="150" t="str">
        <f t="shared" si="27"/>
        <v>7-Dépenses</v>
      </c>
      <c r="R332" s="149" t="str">
        <f t="shared" si="28"/>
        <v>75</v>
      </c>
      <c r="S332" s="150" t="str">
        <f t="shared" si="29"/>
        <v>_</v>
      </c>
      <c r="T332" s="152" t="str">
        <f>+VLOOKUP($L332,Data_Validation!$A:$D,1,0)</f>
        <v>75A</v>
      </c>
      <c r="U332" s="152" t="str">
        <f>+VLOOKUP($L332,Data_Validation!$A:$D,3,0)</f>
        <v>Véhicules neufs</v>
      </c>
      <c r="V332" s="152" t="str">
        <f>+VLOOKUP($L332,Data_Validation!$A:$D,4,0)</f>
        <v>Téléphone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08" t="s">
        <v>1627</v>
      </c>
      <c r="B333" s="708" t="s">
        <v>798</v>
      </c>
      <c r="C333" s="710">
        <v>0</v>
      </c>
      <c r="D333" s="710">
        <v>97.56</v>
      </c>
      <c r="E333" s="710">
        <v>97.56</v>
      </c>
      <c r="F333" s="708" t="s">
        <v>2228</v>
      </c>
      <c r="G333" s="708" t="s">
        <v>2259</v>
      </c>
      <c r="H333" s="664" t="s">
        <v>3000</v>
      </c>
      <c r="I333" s="663"/>
      <c r="J333" s="663"/>
      <c r="K333" s="663"/>
      <c r="L333" s="149" t="str">
        <f t="shared" si="25"/>
        <v>75C</v>
      </c>
      <c r="M333" s="150" t="str">
        <f t="shared" si="26"/>
        <v>TELEPHONE - USAGE BMW</v>
      </c>
      <c r="N333" s="151">
        <f>+IF(OR($Q333=Parametres!$G$2,$Q333=Parametres!$G$3),I333,C333)</f>
        <v>0</v>
      </c>
      <c r="O333" s="151">
        <f>+IF(OR($Q333=Parametres!$G$2,$Q333=Parametres!$G$3),J333,D333)</f>
        <v>97.56</v>
      </c>
      <c r="P333" s="151">
        <f>+IF(OR($Q333=Parametres!$G$2,$Q333=Parametres!$G$3),K333,E333)</f>
        <v>97.56</v>
      </c>
      <c r="Q333" s="150" t="str">
        <f t="shared" si="27"/>
        <v>7-Dépenses</v>
      </c>
      <c r="R333" s="149" t="str">
        <f t="shared" si="28"/>
        <v>75</v>
      </c>
      <c r="S333" s="150" t="str">
        <f t="shared" si="29"/>
        <v>_</v>
      </c>
      <c r="T333" s="152" t="str">
        <f>+VLOOKUP($L333,Data_Validation!$A:$D,1,0)</f>
        <v>75C</v>
      </c>
      <c r="U333" s="152" t="str">
        <f>+VLOOKUP($L333,Data_Validation!$A:$D,3,0)</f>
        <v>Véhicules usagés</v>
      </c>
      <c r="V333" s="152" t="str">
        <f>+VLOOKUP($L333,Data_Validation!$A:$D,4,0)</f>
        <v>Téléphone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62" t="s">
        <v>1658</v>
      </c>
      <c r="B334" s="662" t="s">
        <v>821</v>
      </c>
      <c r="C334" s="663">
        <v>0</v>
      </c>
      <c r="D334" s="663">
        <v>199.65</v>
      </c>
      <c r="E334" s="663">
        <v>199.65</v>
      </c>
      <c r="F334" s="662" t="s">
        <v>2228</v>
      </c>
      <c r="G334" s="662" t="s">
        <v>2259</v>
      </c>
      <c r="H334" s="657" t="s">
        <v>3000</v>
      </c>
      <c r="I334" s="656"/>
      <c r="J334" s="656"/>
      <c r="K334" s="656"/>
      <c r="L334" s="149" t="str">
        <f t="shared" si="25"/>
        <v>75E</v>
      </c>
      <c r="M334" s="150" t="str">
        <f t="shared" si="26"/>
        <v>TELEPHONE - SERV. BMW</v>
      </c>
      <c r="N334" s="151">
        <f>+IF(OR($Q334=Parametres!$G$2,$Q334=Parametres!$G$3),I334,C334)</f>
        <v>0</v>
      </c>
      <c r="O334" s="151">
        <f>+IF(OR($Q334=Parametres!$G$2,$Q334=Parametres!$G$3),J334,D334)</f>
        <v>199.65</v>
      </c>
      <c r="P334" s="151">
        <f>+IF(OR($Q334=Parametres!$G$2,$Q334=Parametres!$G$3),K334,E334)</f>
        <v>199.65</v>
      </c>
      <c r="Q334" s="150" t="str">
        <f t="shared" si="27"/>
        <v>7-Dépenses</v>
      </c>
      <c r="R334" s="149" t="str">
        <f t="shared" si="28"/>
        <v>75</v>
      </c>
      <c r="S334" s="150" t="str">
        <f t="shared" si="29"/>
        <v>_</v>
      </c>
      <c r="T334" s="152" t="str">
        <f>+VLOOKUP($L334,Data_Validation!$A:$D,1,0)</f>
        <v>75E</v>
      </c>
      <c r="U334" s="152" t="str">
        <f>+VLOOKUP($L334,Data_Validation!$A:$D,3,0)</f>
        <v>Service</v>
      </c>
      <c r="V334" s="152" t="str">
        <f>+VLOOKUP($L334,Data_Validation!$A:$D,4,0)</f>
        <v>Téléphone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62" t="s">
        <v>1648</v>
      </c>
      <c r="B335" s="662" t="s">
        <v>816</v>
      </c>
      <c r="C335" s="663">
        <v>0</v>
      </c>
      <c r="D335" s="663">
        <v>180.43</v>
      </c>
      <c r="E335" s="663">
        <v>180.43</v>
      </c>
      <c r="F335" s="662" t="s">
        <v>2228</v>
      </c>
      <c r="G335" s="662" t="s">
        <v>2259</v>
      </c>
      <c r="H335" s="657" t="s">
        <v>3000</v>
      </c>
      <c r="I335" s="656"/>
      <c r="J335" s="656"/>
      <c r="K335" s="656"/>
      <c r="L335" s="149" t="str">
        <f t="shared" si="25"/>
        <v>75G</v>
      </c>
      <c r="M335" s="150" t="str">
        <f t="shared" si="26"/>
        <v>TELEPHONE - PIECE BMW</v>
      </c>
      <c r="N335" s="151">
        <f>+IF(OR($Q335=Parametres!$G$2,$Q335=Parametres!$G$3),I335,C335)</f>
        <v>0</v>
      </c>
      <c r="O335" s="151">
        <f>+IF(OR($Q335=Parametres!$G$2,$Q335=Parametres!$G$3),J335,D335)</f>
        <v>180.43</v>
      </c>
      <c r="P335" s="151">
        <f>+IF(OR($Q335=Parametres!$G$2,$Q335=Parametres!$G$3),K335,E335)</f>
        <v>180.43</v>
      </c>
      <c r="Q335" s="150" t="str">
        <f t="shared" si="27"/>
        <v>7-Dépenses</v>
      </c>
      <c r="R335" s="149" t="str">
        <f t="shared" si="28"/>
        <v>75</v>
      </c>
      <c r="S335" s="150" t="str">
        <f t="shared" si="29"/>
        <v>_</v>
      </c>
      <c r="T335" s="152" t="str">
        <f>+VLOOKUP($L335,Data_Validation!$A:$D,1,0)</f>
        <v>75G</v>
      </c>
      <c r="U335" s="152" t="str">
        <f>+VLOOKUP($L335,Data_Validation!$A:$D,3,0)</f>
        <v>pièces</v>
      </c>
      <c r="V335" s="152" t="str">
        <f>+VLOOKUP($L335,Data_Validation!$A:$D,4,0)</f>
        <v>Téléphone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08" t="s">
        <v>1145</v>
      </c>
      <c r="B336" s="708" t="s">
        <v>889</v>
      </c>
      <c r="C336" s="710">
        <v>0</v>
      </c>
      <c r="D336" s="710">
        <v>925.53</v>
      </c>
      <c r="E336" s="710">
        <v>925.53</v>
      </c>
      <c r="F336" s="708" t="s">
        <v>2228</v>
      </c>
      <c r="G336" s="708" t="s">
        <v>2270</v>
      </c>
      <c r="H336" s="657" t="s">
        <v>3000</v>
      </c>
      <c r="I336" s="656"/>
      <c r="J336" s="656"/>
      <c r="K336" s="656"/>
      <c r="L336" s="149" t="str">
        <f t="shared" si="25"/>
        <v>76A</v>
      </c>
      <c r="M336" s="150" t="str">
        <f t="shared" si="26"/>
        <v>FORMATION - NEUF BMW</v>
      </c>
      <c r="N336" s="151">
        <f>+IF(OR($Q336=Parametres!$G$2,$Q336=Parametres!$G$3),I336,C336)</f>
        <v>0</v>
      </c>
      <c r="O336" s="151">
        <f>+IF(OR($Q336=Parametres!$G$2,$Q336=Parametres!$G$3),J336,D336)</f>
        <v>925.53</v>
      </c>
      <c r="P336" s="151">
        <f>+IF(OR($Q336=Parametres!$G$2,$Q336=Parametres!$G$3),K336,E336)</f>
        <v>925.53</v>
      </c>
      <c r="Q336" s="150" t="str">
        <f t="shared" si="27"/>
        <v>7-Dépenses</v>
      </c>
      <c r="R336" s="149" t="str">
        <f t="shared" si="28"/>
        <v>76</v>
      </c>
      <c r="S336" s="150" t="str">
        <f t="shared" si="29"/>
        <v>_</v>
      </c>
      <c r="T336" s="152" t="str">
        <f>+VLOOKUP($L336,Data_Validation!$A:$D,1,0)</f>
        <v>76A</v>
      </c>
      <c r="U336" s="152" t="str">
        <f>+VLOOKUP($L336,Data_Validation!$A:$D,3,0)</f>
        <v>Véhicules neufs</v>
      </c>
      <c r="V336" s="152" t="str">
        <f>+VLOOKUP($L336,Data_Validation!$A:$D,4,0)</f>
        <v>Formation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62" t="s">
        <v>1194</v>
      </c>
      <c r="B337" s="662" t="s">
        <v>833</v>
      </c>
      <c r="C337" s="663">
        <v>0</v>
      </c>
      <c r="D337" s="663">
        <v>205.67</v>
      </c>
      <c r="E337" s="663">
        <v>205.67</v>
      </c>
      <c r="F337" s="662" t="s">
        <v>2228</v>
      </c>
      <c r="G337" s="662" t="s">
        <v>2270</v>
      </c>
      <c r="H337" s="657" t="s">
        <v>3000</v>
      </c>
      <c r="I337" s="656"/>
      <c r="J337" s="656"/>
      <c r="K337" s="656"/>
      <c r="L337" s="149" t="str">
        <f t="shared" si="25"/>
        <v>76C</v>
      </c>
      <c r="M337" s="150" t="str">
        <f t="shared" si="26"/>
        <v>FORMATION - USAGE BMW</v>
      </c>
      <c r="N337" s="151">
        <f>+IF(OR($Q337=Parametres!$G$2,$Q337=Parametres!$G$3),I337,C337)</f>
        <v>0</v>
      </c>
      <c r="O337" s="151">
        <f>+IF(OR($Q337=Parametres!$G$2,$Q337=Parametres!$G$3),J337,D337)</f>
        <v>205.67</v>
      </c>
      <c r="P337" s="151">
        <f>+IF(OR($Q337=Parametres!$G$2,$Q337=Parametres!$G$3),K337,E337)</f>
        <v>205.67</v>
      </c>
      <c r="Q337" s="150" t="str">
        <f t="shared" si="27"/>
        <v>7-Dépenses</v>
      </c>
      <c r="R337" s="149" t="str">
        <f t="shared" si="28"/>
        <v>76</v>
      </c>
      <c r="S337" s="150" t="str">
        <f t="shared" si="29"/>
        <v>_</v>
      </c>
      <c r="T337" s="152" t="str">
        <f>+VLOOKUP($L337,Data_Validation!$A:$D,1,0)</f>
        <v>76C</v>
      </c>
      <c r="U337" s="152" t="str">
        <f>+VLOOKUP($L337,Data_Validation!$A:$D,3,0)</f>
        <v>Véhicules usagés</v>
      </c>
      <c r="V337" s="152" t="str">
        <f>+VLOOKUP($L337,Data_Validation!$A:$D,4,0)</f>
        <v>Formation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08" t="s">
        <v>1172</v>
      </c>
      <c r="B338" s="708" t="s">
        <v>868</v>
      </c>
      <c r="C338" s="710">
        <v>0</v>
      </c>
      <c r="D338" s="710">
        <v>874.18</v>
      </c>
      <c r="E338" s="710">
        <v>874.18</v>
      </c>
      <c r="F338" s="708" t="s">
        <v>2228</v>
      </c>
      <c r="G338" s="708" t="s">
        <v>2270</v>
      </c>
      <c r="H338" s="664" t="s">
        <v>3000</v>
      </c>
      <c r="I338" s="663"/>
      <c r="J338" s="663"/>
      <c r="K338" s="663"/>
      <c r="L338" s="149" t="str">
        <f t="shared" si="25"/>
        <v>76E</v>
      </c>
      <c r="M338" s="150" t="str">
        <f t="shared" si="26"/>
        <v>FORMATION - SERV. BMW</v>
      </c>
      <c r="N338" s="151">
        <f>+IF(OR($Q338=Parametres!$G$2,$Q338=Parametres!$G$3),I338,C338)</f>
        <v>0</v>
      </c>
      <c r="O338" s="151">
        <f>+IF(OR($Q338=Parametres!$G$2,$Q338=Parametres!$G$3),J338,D338)</f>
        <v>874.18</v>
      </c>
      <c r="P338" s="151">
        <f>+IF(OR($Q338=Parametres!$G$2,$Q338=Parametres!$G$3),K338,E338)</f>
        <v>874.18</v>
      </c>
      <c r="Q338" s="150" t="str">
        <f t="shared" si="27"/>
        <v>7-Dépenses</v>
      </c>
      <c r="R338" s="149" t="str">
        <f t="shared" si="28"/>
        <v>76</v>
      </c>
      <c r="S338" s="150" t="str">
        <f t="shared" si="29"/>
        <v>_</v>
      </c>
      <c r="T338" s="152" t="str">
        <f>+VLOOKUP($L338,Data_Validation!$A:$D,1,0)</f>
        <v>76E</v>
      </c>
      <c r="U338" s="152" t="str">
        <f>+VLOOKUP($L338,Data_Validation!$A:$D,3,0)</f>
        <v>Service</v>
      </c>
      <c r="V338" s="152" t="str">
        <f>+VLOOKUP($L338,Data_Validation!$A:$D,4,0)</f>
        <v>Formation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08" t="s">
        <v>1174</v>
      </c>
      <c r="B339" s="708" t="s">
        <v>856</v>
      </c>
      <c r="C339" s="710">
        <v>0</v>
      </c>
      <c r="D339" s="710">
        <v>411.35</v>
      </c>
      <c r="E339" s="710">
        <v>411.35</v>
      </c>
      <c r="F339" s="708" t="s">
        <v>2228</v>
      </c>
      <c r="G339" s="708" t="s">
        <v>2270</v>
      </c>
      <c r="H339" s="664" t="s">
        <v>3000</v>
      </c>
      <c r="I339" s="663"/>
      <c r="J339" s="663"/>
      <c r="K339" s="663"/>
      <c r="L339" s="149" t="str">
        <f t="shared" si="25"/>
        <v>76G</v>
      </c>
      <c r="M339" s="150" t="str">
        <f t="shared" si="26"/>
        <v>FORMATION - PIECE BMW</v>
      </c>
      <c r="N339" s="151">
        <f>+IF(OR($Q339=Parametres!$G$2,$Q339=Parametres!$G$3),I339,C339)</f>
        <v>0</v>
      </c>
      <c r="O339" s="151">
        <f>+IF(OR($Q339=Parametres!$G$2,$Q339=Parametres!$G$3),J339,D339)</f>
        <v>411.35</v>
      </c>
      <c r="P339" s="151">
        <f>+IF(OR($Q339=Parametres!$G$2,$Q339=Parametres!$G$3),K339,E339)</f>
        <v>411.35</v>
      </c>
      <c r="Q339" s="150" t="str">
        <f t="shared" si="27"/>
        <v>7-Dépenses</v>
      </c>
      <c r="R339" s="149" t="str">
        <f t="shared" si="28"/>
        <v>76</v>
      </c>
      <c r="S339" s="150" t="str">
        <f t="shared" si="29"/>
        <v>_</v>
      </c>
      <c r="T339" s="152" t="str">
        <f>+VLOOKUP($L339,Data_Validation!$A:$D,1,0)</f>
        <v>76G</v>
      </c>
      <c r="U339" s="152" t="str">
        <f>+VLOOKUP($L339,Data_Validation!$A:$D,3,0)</f>
        <v>pièces</v>
      </c>
      <c r="V339" s="152" t="str">
        <f>+VLOOKUP($L339,Data_Validation!$A:$D,4,0)</f>
        <v>Formation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62" t="s">
        <v>1655</v>
      </c>
      <c r="B340" s="662" t="s">
        <v>818</v>
      </c>
      <c r="C340" s="663">
        <v>0</v>
      </c>
      <c r="D340" s="663">
        <v>88.66</v>
      </c>
      <c r="E340" s="663">
        <v>88.66</v>
      </c>
      <c r="F340" s="662" t="s">
        <v>2228</v>
      </c>
      <c r="G340" s="662" t="s">
        <v>2262</v>
      </c>
      <c r="H340" s="657" t="s">
        <v>3000</v>
      </c>
      <c r="I340" s="656"/>
      <c r="J340" s="656"/>
      <c r="K340" s="656"/>
      <c r="L340" s="149" t="str">
        <f t="shared" si="25"/>
        <v>78A</v>
      </c>
      <c r="M340" s="150" t="str">
        <f t="shared" si="26"/>
        <v>TRANSPORT - NEUF BMW</v>
      </c>
      <c r="N340" s="151">
        <f>+IF(OR($Q340=Parametres!$G$2,$Q340=Parametres!$G$3),I340,C340)</f>
        <v>0</v>
      </c>
      <c r="O340" s="151">
        <f>+IF(OR($Q340=Parametres!$G$2,$Q340=Parametres!$G$3),J340,D340)</f>
        <v>88.66</v>
      </c>
      <c r="P340" s="151">
        <f>+IF(OR($Q340=Parametres!$G$2,$Q340=Parametres!$G$3),K340,E340)</f>
        <v>88.66</v>
      </c>
      <c r="Q340" s="150" t="str">
        <f t="shared" si="27"/>
        <v>7-Dépenses</v>
      </c>
      <c r="R340" s="149" t="str">
        <f t="shared" si="28"/>
        <v>78</v>
      </c>
      <c r="S340" s="150" t="str">
        <f t="shared" si="29"/>
        <v>_</v>
      </c>
      <c r="T340" s="152" t="str">
        <f>+VLOOKUP($L340,Data_Validation!$A:$D,1,0)</f>
        <v>78A</v>
      </c>
      <c r="U340" s="152" t="str">
        <f>+VLOOKUP($L340,Data_Validation!$A:$D,3,0)</f>
        <v>Véhicules neufs</v>
      </c>
      <c r="V340" s="152" t="str">
        <f>+VLOOKUP($L340,Data_Validation!$A:$D,4,0)</f>
        <v>Frais postaux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62" t="s">
        <v>1621</v>
      </c>
      <c r="B341" s="662" t="s">
        <v>782</v>
      </c>
      <c r="C341" s="663">
        <v>0</v>
      </c>
      <c r="D341" s="663">
        <v>14.42</v>
      </c>
      <c r="E341" s="663">
        <v>14.42</v>
      </c>
      <c r="F341" s="662" t="s">
        <v>2228</v>
      </c>
      <c r="G341" s="662" t="s">
        <v>2262</v>
      </c>
      <c r="H341" s="657" t="s">
        <v>3000</v>
      </c>
      <c r="I341" s="656"/>
      <c r="J341" s="656"/>
      <c r="K341" s="656"/>
      <c r="L341" s="149" t="str">
        <f t="shared" si="25"/>
        <v>78C</v>
      </c>
      <c r="M341" s="150" t="str">
        <f t="shared" si="26"/>
        <v>TRANSPORT - USAGE BMW</v>
      </c>
      <c r="N341" s="151">
        <f>+IF(OR($Q341=Parametres!$G$2,$Q341=Parametres!$G$3),I341,C341)</f>
        <v>0</v>
      </c>
      <c r="O341" s="151">
        <f>+IF(OR($Q341=Parametres!$G$2,$Q341=Parametres!$G$3),J341,D341)</f>
        <v>14.42</v>
      </c>
      <c r="P341" s="151">
        <f>+IF(OR($Q341=Parametres!$G$2,$Q341=Parametres!$G$3),K341,E341)</f>
        <v>14.42</v>
      </c>
      <c r="Q341" s="150" t="str">
        <f t="shared" si="27"/>
        <v>7-Dépenses</v>
      </c>
      <c r="R341" s="149" t="str">
        <f t="shared" si="28"/>
        <v>78</v>
      </c>
      <c r="S341" s="150" t="str">
        <f t="shared" si="29"/>
        <v>_</v>
      </c>
      <c r="T341" s="152" t="str">
        <f>+VLOOKUP($L341,Data_Validation!$A:$D,1,0)</f>
        <v>78C</v>
      </c>
      <c r="U341" s="152" t="str">
        <f>+VLOOKUP($L341,Data_Validation!$A:$D,3,0)</f>
        <v>Véhicules usagés</v>
      </c>
      <c r="V341" s="152" t="str">
        <f>+VLOOKUP($L341,Data_Validation!$A:$D,4,0)</f>
        <v>Frais postaux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08" t="s">
        <v>1628</v>
      </c>
      <c r="B342" s="708" t="s">
        <v>806</v>
      </c>
      <c r="C342" s="710">
        <v>0</v>
      </c>
      <c r="D342" s="710">
        <v>113.74</v>
      </c>
      <c r="E342" s="710">
        <v>113.74</v>
      </c>
      <c r="F342" s="708" t="s">
        <v>2228</v>
      </c>
      <c r="G342" s="708" t="s">
        <v>2262</v>
      </c>
      <c r="H342" s="664" t="s">
        <v>3000</v>
      </c>
      <c r="I342" s="664"/>
      <c r="J342" s="664"/>
      <c r="K342" s="664"/>
      <c r="L342" s="149" t="str">
        <f t="shared" si="25"/>
        <v>78E</v>
      </c>
      <c r="M342" s="150" t="str">
        <f t="shared" si="26"/>
        <v>TRANSPORT - SERV. BMW</v>
      </c>
      <c r="N342" s="151">
        <f>+IF(OR($Q342=Parametres!$G$2,$Q342=Parametres!$G$3),I342,C342)</f>
        <v>0</v>
      </c>
      <c r="O342" s="151">
        <f>+IF(OR($Q342=Parametres!$G$2,$Q342=Parametres!$G$3),J342,D342)</f>
        <v>113.74</v>
      </c>
      <c r="P342" s="151">
        <f>+IF(OR($Q342=Parametres!$G$2,$Q342=Parametres!$G$3),K342,E342)</f>
        <v>113.74</v>
      </c>
      <c r="Q342" s="150" t="str">
        <f t="shared" si="27"/>
        <v>7-Dépenses</v>
      </c>
      <c r="R342" s="149" t="str">
        <f t="shared" si="28"/>
        <v>78</v>
      </c>
      <c r="S342" s="150" t="str">
        <f t="shared" si="29"/>
        <v>_</v>
      </c>
      <c r="T342" s="152" t="str">
        <f>+VLOOKUP($L342,Data_Validation!$A:$D,1,0)</f>
        <v>78E</v>
      </c>
      <c r="U342" s="152" t="str">
        <f>+VLOOKUP($L342,Data_Validation!$A:$D,3,0)</f>
        <v>Service</v>
      </c>
      <c r="V342" s="152" t="str">
        <f>+VLOOKUP($L342,Data_Validation!$A:$D,4,0)</f>
        <v>Frais postaux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08" t="s">
        <v>1619</v>
      </c>
      <c r="B343" s="708" t="s">
        <v>788</v>
      </c>
      <c r="C343" s="710">
        <v>0</v>
      </c>
      <c r="D343" s="710">
        <v>479.33</v>
      </c>
      <c r="E343" s="710">
        <v>479.33</v>
      </c>
      <c r="F343" s="708" t="s">
        <v>2228</v>
      </c>
      <c r="G343" s="708" t="s">
        <v>2262</v>
      </c>
      <c r="H343" s="664" t="s">
        <v>3000</v>
      </c>
      <c r="I343" s="663"/>
      <c r="J343" s="663"/>
      <c r="K343" s="663"/>
      <c r="L343" s="149" t="str">
        <f t="shared" si="25"/>
        <v>78G</v>
      </c>
      <c r="M343" s="150" t="str">
        <f t="shared" si="26"/>
        <v>TRANSPORT - PIECE BMW</v>
      </c>
      <c r="N343" s="151">
        <f>+IF(OR($Q343=Parametres!$G$2,$Q343=Parametres!$G$3),I343,C343)</f>
        <v>0</v>
      </c>
      <c r="O343" s="151">
        <f>+IF(OR($Q343=Parametres!$G$2,$Q343=Parametres!$G$3),J343,D343)</f>
        <v>479.33</v>
      </c>
      <c r="P343" s="151">
        <f>+IF(OR($Q343=Parametres!$G$2,$Q343=Parametres!$G$3),K343,E343)</f>
        <v>479.33</v>
      </c>
      <c r="Q343" s="150" t="str">
        <f t="shared" si="27"/>
        <v>7-Dépenses</v>
      </c>
      <c r="R343" s="149" t="str">
        <f t="shared" si="28"/>
        <v>78</v>
      </c>
      <c r="S343" s="150" t="str">
        <f t="shared" si="29"/>
        <v>_</v>
      </c>
      <c r="T343" s="152" t="str">
        <f>+VLOOKUP($L343,Data_Validation!$A:$D,1,0)</f>
        <v>78G</v>
      </c>
      <c r="U343" s="152" t="str">
        <f>+VLOOKUP($L343,Data_Validation!$A:$D,3,0)</f>
        <v>pièces</v>
      </c>
      <c r="V343" s="152" t="str">
        <f>+VLOOKUP($L343,Data_Validation!$A:$D,4,0)</f>
        <v>Frais postaux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08" t="s">
        <v>1830</v>
      </c>
      <c r="B344" s="708" t="s">
        <v>968</v>
      </c>
      <c r="C344" s="710">
        <v>0</v>
      </c>
      <c r="D344" s="710">
        <v>18000</v>
      </c>
      <c r="E344" s="710">
        <v>18000</v>
      </c>
      <c r="F344" s="708" t="s">
        <v>2228</v>
      </c>
      <c r="G344" s="708" t="s">
        <v>2292</v>
      </c>
      <c r="H344" s="657" t="s">
        <v>3000</v>
      </c>
      <c r="I344" s="656"/>
      <c r="J344" s="656"/>
      <c r="K344" s="656"/>
      <c r="L344" s="149" t="str">
        <f t="shared" si="25"/>
        <v>80A</v>
      </c>
      <c r="M344" s="150" t="str">
        <f t="shared" si="26"/>
        <v>LOYER OU EQUIV. - NEUF BMW</v>
      </c>
      <c r="N344" s="151">
        <f>+IF(OR($Q344=Parametres!$G$2,$Q344=Parametres!$G$3),I344,C344)</f>
        <v>0</v>
      </c>
      <c r="O344" s="151">
        <f>+IF(OR($Q344=Parametres!$G$2,$Q344=Parametres!$G$3),J344,D344)</f>
        <v>18000</v>
      </c>
      <c r="P344" s="151">
        <f>+IF(OR($Q344=Parametres!$G$2,$Q344=Parametres!$G$3),K344,E344)</f>
        <v>18000</v>
      </c>
      <c r="Q344" s="150" t="str">
        <f t="shared" si="27"/>
        <v>7-Dépenses</v>
      </c>
      <c r="R344" s="149" t="str">
        <f t="shared" si="28"/>
        <v>80</v>
      </c>
      <c r="S344" s="150" t="str">
        <f t="shared" si="29"/>
        <v>_</v>
      </c>
      <c r="T344" s="152" t="str">
        <f>+VLOOKUP($L344,Data_Validation!$A:$D,1,0)</f>
        <v>80A</v>
      </c>
      <c r="U344" s="152" t="str">
        <f>+VLOOKUP($L344,Data_Validation!$A:$D,3,0)</f>
        <v>Véhicules neufs</v>
      </c>
      <c r="V344" s="152" t="str">
        <f>+VLOOKUP($L344,Data_Validation!$A:$D,4,0)</f>
        <v>loyer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62" t="s">
        <v>1794</v>
      </c>
      <c r="B345" s="662" t="s">
        <v>928</v>
      </c>
      <c r="C345" s="663">
        <v>0</v>
      </c>
      <c r="D345" s="663">
        <v>4000</v>
      </c>
      <c r="E345" s="663">
        <v>4000</v>
      </c>
      <c r="F345" s="662" t="s">
        <v>2228</v>
      </c>
      <c r="G345" s="662" t="s">
        <v>2292</v>
      </c>
      <c r="H345" s="657" t="s">
        <v>3000</v>
      </c>
      <c r="I345" s="656"/>
      <c r="J345" s="656"/>
      <c r="K345" s="656"/>
      <c r="L345" s="149" t="str">
        <f t="shared" si="25"/>
        <v>80C</v>
      </c>
      <c r="M345" s="150" t="str">
        <f t="shared" si="26"/>
        <v>LOYER OU EQUIV. - USAGE BMW</v>
      </c>
      <c r="N345" s="151">
        <f>+IF(OR($Q345=Parametres!$G$2,$Q345=Parametres!$G$3),I345,C345)</f>
        <v>0</v>
      </c>
      <c r="O345" s="151">
        <f>+IF(OR($Q345=Parametres!$G$2,$Q345=Parametres!$G$3),J345,D345)</f>
        <v>4000</v>
      </c>
      <c r="P345" s="151">
        <f>+IF(OR($Q345=Parametres!$G$2,$Q345=Parametres!$G$3),K345,E345)</f>
        <v>4000</v>
      </c>
      <c r="Q345" s="150" t="str">
        <f t="shared" si="27"/>
        <v>7-Dépenses</v>
      </c>
      <c r="R345" s="149" t="str">
        <f t="shared" si="28"/>
        <v>80</v>
      </c>
      <c r="S345" s="150" t="str">
        <f t="shared" si="29"/>
        <v>_</v>
      </c>
      <c r="T345" s="152" t="str">
        <f>+VLOOKUP($L345,Data_Validation!$A:$D,1,0)</f>
        <v>80C</v>
      </c>
      <c r="U345" s="152" t="str">
        <f>+VLOOKUP($L345,Data_Validation!$A:$D,3,0)</f>
        <v>Véhicules usagés</v>
      </c>
      <c r="V345" s="152" t="str">
        <f>+VLOOKUP($L345,Data_Validation!$A:$D,4,0)</f>
        <v>loyer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08" t="s">
        <v>1818</v>
      </c>
      <c r="B346" s="708" t="s">
        <v>958</v>
      </c>
      <c r="C346" s="710">
        <v>0</v>
      </c>
      <c r="D346" s="710">
        <v>10000</v>
      </c>
      <c r="E346" s="710">
        <v>10000</v>
      </c>
      <c r="F346" s="708" t="s">
        <v>2228</v>
      </c>
      <c r="G346" s="708" t="s">
        <v>2292</v>
      </c>
      <c r="H346" s="664" t="s">
        <v>3000</v>
      </c>
      <c r="I346" s="663"/>
      <c r="J346" s="663"/>
      <c r="K346" s="663"/>
      <c r="L346" s="149" t="str">
        <f t="shared" si="25"/>
        <v>80E</v>
      </c>
      <c r="M346" s="150" t="str">
        <f t="shared" si="26"/>
        <v>LOYER OU EQUIV. - SERV. BMW</v>
      </c>
      <c r="N346" s="151">
        <f>+IF(OR($Q346=Parametres!$G$2,$Q346=Parametres!$G$3),I346,C346)</f>
        <v>0</v>
      </c>
      <c r="O346" s="151">
        <f>+IF(OR($Q346=Parametres!$G$2,$Q346=Parametres!$G$3),J346,D346)</f>
        <v>10000</v>
      </c>
      <c r="P346" s="151">
        <f>+IF(OR($Q346=Parametres!$G$2,$Q346=Parametres!$G$3),K346,E346)</f>
        <v>10000</v>
      </c>
      <c r="Q346" s="150" t="str">
        <f t="shared" si="27"/>
        <v>7-Dépenses</v>
      </c>
      <c r="R346" s="149" t="str">
        <f t="shared" si="28"/>
        <v>80</v>
      </c>
      <c r="S346" s="150" t="str">
        <f t="shared" si="29"/>
        <v>_</v>
      </c>
      <c r="T346" s="152" t="str">
        <f>+VLOOKUP($L346,Data_Validation!$A:$D,1,0)</f>
        <v>80E</v>
      </c>
      <c r="U346" s="152" t="str">
        <f>+VLOOKUP($L346,Data_Validation!$A:$D,3,0)</f>
        <v>Service</v>
      </c>
      <c r="V346" s="152" t="str">
        <f>+VLOOKUP($L346,Data_Validation!$A:$D,4,0)</f>
        <v>loyer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08" t="s">
        <v>1816</v>
      </c>
      <c r="B347" s="708" t="s">
        <v>953</v>
      </c>
      <c r="C347" s="710">
        <v>0</v>
      </c>
      <c r="D347" s="710">
        <v>8000</v>
      </c>
      <c r="E347" s="710">
        <v>8000</v>
      </c>
      <c r="F347" s="708" t="s">
        <v>2228</v>
      </c>
      <c r="G347" s="708" t="s">
        <v>2292</v>
      </c>
      <c r="H347" s="664" t="s">
        <v>3000</v>
      </c>
      <c r="I347" s="664"/>
      <c r="J347" s="664"/>
      <c r="K347" s="664"/>
      <c r="L347" s="149" t="str">
        <f t="shared" si="25"/>
        <v>80G</v>
      </c>
      <c r="M347" s="150" t="str">
        <f t="shared" si="26"/>
        <v>LOYER OU EQUIV. - PIECES BMW</v>
      </c>
      <c r="N347" s="151">
        <f>+IF(OR($Q347=Parametres!$G$2,$Q347=Parametres!$G$3),I347,C347)</f>
        <v>0</v>
      </c>
      <c r="O347" s="151">
        <f>+IF(OR($Q347=Parametres!$G$2,$Q347=Parametres!$G$3),J347,D347)</f>
        <v>8000</v>
      </c>
      <c r="P347" s="151">
        <f>+IF(OR($Q347=Parametres!$G$2,$Q347=Parametres!$G$3),K347,E347)</f>
        <v>8000</v>
      </c>
      <c r="Q347" s="150" t="str">
        <f t="shared" si="27"/>
        <v>7-Dépenses</v>
      </c>
      <c r="R347" s="149" t="str">
        <f t="shared" si="28"/>
        <v>80</v>
      </c>
      <c r="S347" s="150" t="str">
        <f t="shared" si="29"/>
        <v>_</v>
      </c>
      <c r="T347" s="152" t="str">
        <f>+VLOOKUP($L347,Data_Validation!$A:$D,1,0)</f>
        <v>80G</v>
      </c>
      <c r="U347" s="152" t="str">
        <f>+VLOOKUP($L347,Data_Validation!$A:$D,3,0)</f>
        <v>pièces</v>
      </c>
      <c r="V347" s="152" t="str">
        <f>+VLOOKUP($L347,Data_Validation!$A:$D,4,0)</f>
        <v>loyer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08" t="s">
        <v>1717</v>
      </c>
      <c r="B348" s="708" t="s">
        <v>879</v>
      </c>
      <c r="C348" s="710">
        <v>0</v>
      </c>
      <c r="D348" s="710">
        <v>1607.03</v>
      </c>
      <c r="E348" s="710">
        <v>1607.03</v>
      </c>
      <c r="F348" s="708" t="s">
        <v>2228</v>
      </c>
      <c r="G348" s="708" t="s">
        <v>2275</v>
      </c>
      <c r="H348" s="664" t="s">
        <v>3000</v>
      </c>
      <c r="I348" s="663"/>
      <c r="J348" s="663"/>
      <c r="K348" s="663"/>
      <c r="L348" s="149" t="str">
        <f t="shared" si="25"/>
        <v>85A</v>
      </c>
      <c r="M348" s="150" t="str">
        <f t="shared" si="26"/>
        <v>ASS. BATISSE - NEUF BMW</v>
      </c>
      <c r="N348" s="151">
        <f>+IF(OR($Q348=Parametres!$G$2,$Q348=Parametres!$G$3),I348,C348)</f>
        <v>0</v>
      </c>
      <c r="O348" s="151">
        <f>+IF(OR($Q348=Parametres!$G$2,$Q348=Parametres!$G$3),J348,D348)</f>
        <v>1607.03</v>
      </c>
      <c r="P348" s="151">
        <f>+IF(OR($Q348=Parametres!$G$2,$Q348=Parametres!$G$3),K348,E348)</f>
        <v>1607.03</v>
      </c>
      <c r="Q348" s="150" t="str">
        <f t="shared" si="27"/>
        <v>7-Dépenses</v>
      </c>
      <c r="R348" s="149" t="str">
        <f t="shared" si="28"/>
        <v>85</v>
      </c>
      <c r="S348" s="150" t="str">
        <f t="shared" si="29"/>
        <v>_</v>
      </c>
      <c r="T348" s="152" t="str">
        <f>+VLOOKUP($L348,Data_Validation!$A:$D,1,0)</f>
        <v>85A</v>
      </c>
      <c r="U348" s="152" t="str">
        <f>+VLOOKUP($L348,Data_Validation!$A:$D,3,0)</f>
        <v>Véhicules neufs</v>
      </c>
      <c r="V348" s="152" t="str">
        <f>+VLOOKUP($L348,Data_Validation!$A:$D,4,0)</f>
        <v>assurances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08" t="s">
        <v>1659</v>
      </c>
      <c r="B349" s="708" t="s">
        <v>828</v>
      </c>
      <c r="C349" s="709">
        <v>0</v>
      </c>
      <c r="D349" s="1274">
        <v>357.12</v>
      </c>
      <c r="E349" s="1274">
        <v>357.12</v>
      </c>
      <c r="F349" s="708" t="s">
        <v>2228</v>
      </c>
      <c r="G349" s="708" t="s">
        <v>2275</v>
      </c>
      <c r="H349" s="709" t="s">
        <v>3000</v>
      </c>
      <c r="I349" s="710"/>
      <c r="J349" s="710"/>
      <c r="K349" s="710"/>
      <c r="L349" s="149" t="str">
        <f t="shared" si="25"/>
        <v>85C</v>
      </c>
      <c r="M349" s="150" t="str">
        <f t="shared" si="26"/>
        <v>ASS. BATISSE - USAGE BMW</v>
      </c>
      <c r="N349" s="151">
        <f>+IF(OR($Q349=Parametres!$G$2,$Q349=Parametres!$G$3),I349,C349)</f>
        <v>0</v>
      </c>
      <c r="O349" s="151">
        <f>+IF(OR($Q349=Parametres!$G$2,$Q349=Parametres!$G$3),J349,D349)</f>
        <v>357.12</v>
      </c>
      <c r="P349" s="151">
        <f>+IF(OR($Q349=Parametres!$G$2,$Q349=Parametres!$G$3),K349,E349)</f>
        <v>357.12</v>
      </c>
      <c r="Q349" s="150" t="str">
        <f t="shared" si="27"/>
        <v>7-Dépenses</v>
      </c>
      <c r="R349" s="149" t="str">
        <f t="shared" si="28"/>
        <v>85</v>
      </c>
      <c r="S349" s="150" t="str">
        <f t="shared" si="29"/>
        <v>_</v>
      </c>
      <c r="T349" s="152" t="str">
        <f>+VLOOKUP($L349,Data_Validation!$A:$D,1,0)</f>
        <v>85C</v>
      </c>
      <c r="U349" s="152" t="str">
        <f>+VLOOKUP($L349,Data_Validation!$A:$D,3,0)</f>
        <v>Véhicules usagés</v>
      </c>
      <c r="V349" s="152" t="str">
        <f>+VLOOKUP($L349,Data_Validation!$A:$D,4,0)</f>
        <v>assurances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08" t="s">
        <v>1679</v>
      </c>
      <c r="B350" s="708" t="s">
        <v>850</v>
      </c>
      <c r="C350" s="709">
        <v>0</v>
      </c>
      <c r="D350" s="709">
        <v>892.79</v>
      </c>
      <c r="E350" s="709">
        <v>892.79</v>
      </c>
      <c r="F350" s="708" t="s">
        <v>2228</v>
      </c>
      <c r="G350" s="708" t="s">
        <v>2275</v>
      </c>
      <c r="H350" s="709" t="s">
        <v>3000</v>
      </c>
      <c r="I350" s="710"/>
      <c r="J350" s="710"/>
      <c r="K350" s="710"/>
      <c r="L350" s="149" t="str">
        <f t="shared" si="25"/>
        <v>85E</v>
      </c>
      <c r="M350" s="150" t="str">
        <f t="shared" si="26"/>
        <v>ASS. BATISSE - SERV. BMW</v>
      </c>
      <c r="N350" s="151">
        <f>+IF(OR($Q350=Parametres!$G$2,$Q350=Parametres!$G$3),I350,C350)</f>
        <v>0</v>
      </c>
      <c r="O350" s="151">
        <f>+IF(OR($Q350=Parametres!$G$2,$Q350=Parametres!$G$3),J350,D350)</f>
        <v>892.79</v>
      </c>
      <c r="P350" s="151">
        <f>+IF(OR($Q350=Parametres!$G$2,$Q350=Parametres!$G$3),K350,E350)</f>
        <v>892.79</v>
      </c>
      <c r="Q350" s="150" t="str">
        <f t="shared" si="27"/>
        <v>7-Dépenses</v>
      </c>
      <c r="R350" s="149" t="str">
        <f t="shared" si="28"/>
        <v>85</v>
      </c>
      <c r="S350" s="150" t="str">
        <f t="shared" si="29"/>
        <v>_</v>
      </c>
      <c r="T350" s="152" t="str">
        <f>+VLOOKUP($L350,Data_Validation!$A:$D,1,0)</f>
        <v>85E</v>
      </c>
      <c r="U350" s="152" t="str">
        <f>+VLOOKUP($L350,Data_Validation!$A:$D,3,0)</f>
        <v>Service</v>
      </c>
      <c r="V350" s="152" t="str">
        <f>+VLOOKUP($L350,Data_Validation!$A:$D,4,0)</f>
        <v>assurances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08" t="s">
        <v>1676</v>
      </c>
      <c r="B351" s="708" t="s">
        <v>848</v>
      </c>
      <c r="C351" s="710">
        <v>0</v>
      </c>
      <c r="D351" s="710">
        <v>714.23</v>
      </c>
      <c r="E351" s="710">
        <v>714.23</v>
      </c>
      <c r="F351" s="708" t="s">
        <v>2228</v>
      </c>
      <c r="G351" s="708" t="s">
        <v>2275</v>
      </c>
      <c r="H351" s="664" t="s">
        <v>3000</v>
      </c>
      <c r="I351" s="663"/>
      <c r="J351" s="663"/>
      <c r="K351" s="663"/>
      <c r="L351" s="149" t="str">
        <f t="shared" si="25"/>
        <v>85G</v>
      </c>
      <c r="M351" s="150" t="str">
        <f t="shared" si="26"/>
        <v>ASS. BATISSE - PIECE BMW</v>
      </c>
      <c r="N351" s="151">
        <f>+IF(OR($Q351=Parametres!$G$2,$Q351=Parametres!$G$3),I351,C351)</f>
        <v>0</v>
      </c>
      <c r="O351" s="151">
        <f>+IF(OR($Q351=Parametres!$G$2,$Q351=Parametres!$G$3),J351,D351)</f>
        <v>714.23</v>
      </c>
      <c r="P351" s="151">
        <f>+IF(OR($Q351=Parametres!$G$2,$Q351=Parametres!$G$3),K351,E351)</f>
        <v>714.23</v>
      </c>
      <c r="Q351" s="150" t="str">
        <f t="shared" si="27"/>
        <v>7-Dépenses</v>
      </c>
      <c r="R351" s="149" t="str">
        <f t="shared" si="28"/>
        <v>85</v>
      </c>
      <c r="S351" s="150" t="str">
        <f t="shared" si="29"/>
        <v>_</v>
      </c>
      <c r="T351" s="152" t="str">
        <f>+VLOOKUP($L351,Data_Validation!$A:$D,1,0)</f>
        <v>85G</v>
      </c>
      <c r="U351" s="152" t="str">
        <f>+VLOOKUP($L351,Data_Validation!$A:$D,3,0)</f>
        <v>pièces</v>
      </c>
      <c r="V351" s="152" t="str">
        <f>+VLOOKUP($L351,Data_Validation!$A:$D,4,0)</f>
        <v>assurances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62" t="s">
        <v>1229</v>
      </c>
      <c r="B352" s="662" t="s">
        <v>878</v>
      </c>
      <c r="C352" s="663">
        <v>0</v>
      </c>
      <c r="D352" s="663">
        <v>4974.43</v>
      </c>
      <c r="E352" s="663">
        <v>4974.43</v>
      </c>
      <c r="F352" s="662" t="s">
        <v>2228</v>
      </c>
      <c r="G352" s="662" t="s">
        <v>2274</v>
      </c>
      <c r="H352" s="657" t="s">
        <v>3000</v>
      </c>
      <c r="I352" s="656"/>
      <c r="J352" s="656"/>
      <c r="K352" s="656"/>
      <c r="L352" s="149" t="str">
        <f t="shared" si="25"/>
        <v>87A</v>
      </c>
      <c r="M352" s="150" t="str">
        <f t="shared" si="26"/>
        <v>CHAUFF. ELECT. EAU - NEUF BMW</v>
      </c>
      <c r="N352" s="151">
        <f>+IF(OR($Q352=Parametres!$G$2,$Q352=Parametres!$G$3),I352,C352)</f>
        <v>0</v>
      </c>
      <c r="O352" s="151">
        <f>+IF(OR($Q352=Parametres!$G$2,$Q352=Parametres!$G$3),J352,D352)</f>
        <v>4974.43</v>
      </c>
      <c r="P352" s="151">
        <f>+IF(OR($Q352=Parametres!$G$2,$Q352=Parametres!$G$3),K352,E352)</f>
        <v>4974.43</v>
      </c>
      <c r="Q352" s="150" t="str">
        <f t="shared" si="27"/>
        <v>7-Dépenses</v>
      </c>
      <c r="R352" s="149" t="str">
        <f t="shared" si="28"/>
        <v>87</v>
      </c>
      <c r="S352" s="150" t="str">
        <f t="shared" si="29"/>
        <v>_</v>
      </c>
      <c r="T352" s="152" t="str">
        <f>+VLOOKUP($L352,Data_Validation!$A:$D,1,0)</f>
        <v>87A</v>
      </c>
      <c r="U352" s="152" t="str">
        <f>+VLOOKUP($L352,Data_Validation!$A:$D,3,0)</f>
        <v>Véhicules neufs</v>
      </c>
      <c r="V352" s="152" t="str">
        <f>+VLOOKUP($L352,Data_Validation!$A:$D,4,0)</f>
        <v>Chauffage, éclairage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08" t="s">
        <v>1235</v>
      </c>
      <c r="B353" s="708" t="s">
        <v>827</v>
      </c>
      <c r="C353" s="710">
        <v>0</v>
      </c>
      <c r="D353" s="710">
        <v>1105.43</v>
      </c>
      <c r="E353" s="710">
        <v>1105.43</v>
      </c>
      <c r="F353" s="708" t="s">
        <v>2228</v>
      </c>
      <c r="G353" s="708" t="s">
        <v>2274</v>
      </c>
      <c r="H353" s="664" t="s">
        <v>3000</v>
      </c>
      <c r="I353" s="663"/>
      <c r="J353" s="663"/>
      <c r="K353" s="663"/>
      <c r="L353" s="149" t="str">
        <f t="shared" si="25"/>
        <v>87C</v>
      </c>
      <c r="M353" s="150" t="str">
        <f t="shared" si="26"/>
        <v>CHAUFF. ELECT. EAU - USAGE BMW</v>
      </c>
      <c r="N353" s="151">
        <f>+IF(OR($Q353=Parametres!$G$2,$Q353=Parametres!$G$3),I353,C353)</f>
        <v>0</v>
      </c>
      <c r="O353" s="151">
        <f>+IF(OR($Q353=Parametres!$G$2,$Q353=Parametres!$G$3),J353,D353)</f>
        <v>1105.43</v>
      </c>
      <c r="P353" s="151">
        <f>+IF(OR($Q353=Parametres!$G$2,$Q353=Parametres!$G$3),K353,E353)</f>
        <v>1105.43</v>
      </c>
      <c r="Q353" s="150" t="str">
        <f t="shared" si="27"/>
        <v>7-Dépenses</v>
      </c>
      <c r="R353" s="149" t="str">
        <f t="shared" si="28"/>
        <v>87</v>
      </c>
      <c r="S353" s="150" t="str">
        <f t="shared" si="29"/>
        <v>_</v>
      </c>
      <c r="T353" s="152" t="str">
        <f>+VLOOKUP($L353,Data_Validation!$A:$D,1,0)</f>
        <v>87C</v>
      </c>
      <c r="U353" s="152" t="str">
        <f>+VLOOKUP($L353,Data_Validation!$A:$D,3,0)</f>
        <v>Véhicules usagés</v>
      </c>
      <c r="V353" s="152" t="str">
        <f>+VLOOKUP($L353,Data_Validation!$A:$D,4,0)</f>
        <v>Chauffage, éclairage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62" t="s">
        <v>1231</v>
      </c>
      <c r="B354" s="662" t="s">
        <v>849</v>
      </c>
      <c r="C354" s="663">
        <v>0</v>
      </c>
      <c r="D354" s="663">
        <v>2763.58</v>
      </c>
      <c r="E354" s="663">
        <v>2763.58</v>
      </c>
      <c r="F354" s="662" t="s">
        <v>2228</v>
      </c>
      <c r="G354" s="662" t="s">
        <v>2274</v>
      </c>
      <c r="H354" s="657" t="s">
        <v>3000</v>
      </c>
      <c r="I354" s="656"/>
      <c r="J354" s="656"/>
      <c r="K354" s="656"/>
      <c r="L354" s="149" t="str">
        <f t="shared" si="25"/>
        <v>87E</v>
      </c>
      <c r="M354" s="150" t="str">
        <f t="shared" si="26"/>
        <v>CHAUFF. ELECT. EAU - SERV. BMW</v>
      </c>
      <c r="N354" s="151">
        <f>+IF(OR($Q354=Parametres!$G$2,$Q354=Parametres!$G$3),I354,C354)</f>
        <v>0</v>
      </c>
      <c r="O354" s="151">
        <f>+IF(OR($Q354=Parametres!$G$2,$Q354=Parametres!$G$3),J354,D354)</f>
        <v>2763.58</v>
      </c>
      <c r="P354" s="151">
        <f>+IF(OR($Q354=Parametres!$G$2,$Q354=Parametres!$G$3),K354,E354)</f>
        <v>2763.58</v>
      </c>
      <c r="Q354" s="150" t="str">
        <f t="shared" si="27"/>
        <v>7-Dépenses</v>
      </c>
      <c r="R354" s="149" t="str">
        <f t="shared" si="28"/>
        <v>87</v>
      </c>
      <c r="S354" s="150" t="str">
        <f t="shared" si="29"/>
        <v>_</v>
      </c>
      <c r="T354" s="152" t="str">
        <f>+VLOOKUP($L354,Data_Validation!$A:$D,1,0)</f>
        <v>87E</v>
      </c>
      <c r="U354" s="152" t="str">
        <f>+VLOOKUP($L354,Data_Validation!$A:$D,3,0)</f>
        <v>Service</v>
      </c>
      <c r="V354" s="152" t="str">
        <f>+VLOOKUP($L354,Data_Validation!$A:$D,4,0)</f>
        <v>Chauffage, éclairage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1232</v>
      </c>
      <c r="B355" s="708" t="s">
        <v>846</v>
      </c>
      <c r="C355" s="710">
        <v>0</v>
      </c>
      <c r="D355" s="710">
        <v>2210.84</v>
      </c>
      <c r="E355" s="710">
        <v>2210.84</v>
      </c>
      <c r="F355" s="708" t="s">
        <v>2228</v>
      </c>
      <c r="G355" s="708" t="s">
        <v>2274</v>
      </c>
      <c r="H355" s="657" t="s">
        <v>3000</v>
      </c>
      <c r="I355" s="656"/>
      <c r="J355" s="656"/>
      <c r="K355" s="656"/>
      <c r="L355" s="149" t="str">
        <f t="shared" si="25"/>
        <v>87G</v>
      </c>
      <c r="M355" s="150" t="str">
        <f t="shared" si="26"/>
        <v>CHAUFF. ELECT. EAU - PIECE BMW</v>
      </c>
      <c r="N355" s="151">
        <f>+IF(OR($Q355=Parametres!$G$2,$Q355=Parametres!$G$3),I355,C355)</f>
        <v>0</v>
      </c>
      <c r="O355" s="151">
        <f>+IF(OR($Q355=Parametres!$G$2,$Q355=Parametres!$G$3),J355,D355)</f>
        <v>2210.84</v>
      </c>
      <c r="P355" s="151">
        <f>+IF(OR($Q355=Parametres!$G$2,$Q355=Parametres!$G$3),K355,E355)</f>
        <v>2210.84</v>
      </c>
      <c r="Q355" s="150" t="str">
        <f t="shared" si="27"/>
        <v>7-Dépenses</v>
      </c>
      <c r="R355" s="149" t="str">
        <f t="shared" si="28"/>
        <v>87</v>
      </c>
      <c r="S355" s="150" t="str">
        <f t="shared" si="29"/>
        <v>_</v>
      </c>
      <c r="T355" s="152" t="str">
        <f>+VLOOKUP($L355,Data_Validation!$A:$D,1,0)</f>
        <v>87G</v>
      </c>
      <c r="U355" s="152" t="str">
        <f>+VLOOKUP($L355,Data_Validation!$A:$D,3,0)</f>
        <v>pièces</v>
      </c>
      <c r="V355" s="152" t="str">
        <f>+VLOOKUP($L355,Data_Validation!$A:$D,4,0)</f>
        <v>Chauffage, éclairage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1719</v>
      </c>
      <c r="B356" s="708" t="s">
        <v>865</v>
      </c>
      <c r="C356" s="710">
        <v>0</v>
      </c>
      <c r="D356" s="710">
        <v>67.5</v>
      </c>
      <c r="E356" s="710">
        <v>67.5</v>
      </c>
      <c r="F356" s="708" t="s">
        <v>2228</v>
      </c>
      <c r="G356" s="708" t="s">
        <v>2272</v>
      </c>
      <c r="H356" s="664" t="s">
        <v>3000</v>
      </c>
      <c r="I356" s="663"/>
      <c r="J356" s="663"/>
      <c r="K356" s="663"/>
      <c r="L356" s="149" t="str">
        <f t="shared" si="25"/>
        <v>89A</v>
      </c>
      <c r="M356" s="150" t="str">
        <f t="shared" si="26"/>
        <v>TAXES &amp; PERMIS - NEUF BMW</v>
      </c>
      <c r="N356" s="151">
        <f>+IF(OR($Q356=Parametres!$G$2,$Q356=Parametres!$G$3),I356,C356)</f>
        <v>0</v>
      </c>
      <c r="O356" s="151">
        <f>+IF(OR($Q356=Parametres!$G$2,$Q356=Parametres!$G$3),J356,D356)</f>
        <v>67.5</v>
      </c>
      <c r="P356" s="151">
        <f>+IF(OR($Q356=Parametres!$G$2,$Q356=Parametres!$G$3),K356,E356)</f>
        <v>67.5</v>
      </c>
      <c r="Q356" s="150" t="str">
        <f t="shared" si="27"/>
        <v>7-Dépenses</v>
      </c>
      <c r="R356" s="149" t="str">
        <f t="shared" si="28"/>
        <v>89</v>
      </c>
      <c r="S356" s="150" t="str">
        <f t="shared" si="29"/>
        <v>_</v>
      </c>
      <c r="T356" s="152" t="str">
        <f>+VLOOKUP($L356,Data_Validation!$A:$D,1,0)</f>
        <v>89A</v>
      </c>
      <c r="U356" s="152" t="str">
        <f>+VLOOKUP($L356,Data_Validation!$A:$D,3,0)</f>
        <v>Véhicules neufs</v>
      </c>
      <c r="V356" s="152" t="str">
        <f>+VLOOKUP($L356,Data_Validation!$A:$D,4,0)</f>
        <v>Taxes d`affaires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1660</v>
      </c>
      <c r="B357" s="708" t="s">
        <v>817</v>
      </c>
      <c r="C357" s="709">
        <v>0</v>
      </c>
      <c r="D357" s="709">
        <v>15</v>
      </c>
      <c r="E357" s="709">
        <v>15</v>
      </c>
      <c r="F357" s="708" t="s">
        <v>2228</v>
      </c>
      <c r="G357" s="708" t="s">
        <v>2272</v>
      </c>
      <c r="H357" s="709" t="s">
        <v>3000</v>
      </c>
      <c r="I357" s="710"/>
      <c r="J357" s="710"/>
      <c r="K357" s="710"/>
      <c r="L357" s="149" t="str">
        <f t="shared" si="25"/>
        <v>89C</v>
      </c>
      <c r="M357" s="150" t="str">
        <f t="shared" si="26"/>
        <v>TAXES &amp; PERMIS - USAGE BMW</v>
      </c>
      <c r="N357" s="151">
        <f>+IF(OR($Q357=Parametres!$G$2,$Q357=Parametres!$G$3),I357,C357)</f>
        <v>0</v>
      </c>
      <c r="O357" s="151">
        <f>+IF(OR($Q357=Parametres!$G$2,$Q357=Parametres!$G$3),J357,D357)</f>
        <v>15</v>
      </c>
      <c r="P357" s="151">
        <f>+IF(OR($Q357=Parametres!$G$2,$Q357=Parametres!$G$3),K357,E357)</f>
        <v>15</v>
      </c>
      <c r="Q357" s="150" t="str">
        <f t="shared" si="27"/>
        <v>7-Dépenses</v>
      </c>
      <c r="R357" s="149" t="str">
        <f t="shared" si="28"/>
        <v>89</v>
      </c>
      <c r="S357" s="150" t="str">
        <f t="shared" si="29"/>
        <v>_</v>
      </c>
      <c r="T357" s="152" t="str">
        <f>+VLOOKUP($L357,Data_Validation!$A:$D,1,0)</f>
        <v>89C</v>
      </c>
      <c r="U357" s="152" t="str">
        <f>+VLOOKUP($L357,Data_Validation!$A:$D,3,0)</f>
        <v>Véhicules usagés</v>
      </c>
      <c r="V357" s="152" t="str">
        <f>+VLOOKUP($L357,Data_Validation!$A:$D,4,0)</f>
        <v>Taxes d`affaires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1684</v>
      </c>
      <c r="B358" s="662" t="s">
        <v>839</v>
      </c>
      <c r="C358" s="663">
        <v>0</v>
      </c>
      <c r="D358" s="663">
        <v>37.5</v>
      </c>
      <c r="E358" s="663">
        <v>37.5</v>
      </c>
      <c r="F358" s="662" t="s">
        <v>2228</v>
      </c>
      <c r="G358" s="662" t="s">
        <v>2272</v>
      </c>
      <c r="H358" s="657" t="s">
        <v>3000</v>
      </c>
      <c r="I358" s="656"/>
      <c r="J358" s="656"/>
      <c r="K358" s="656"/>
      <c r="L358" s="149" t="str">
        <f t="shared" si="25"/>
        <v>89E</v>
      </c>
      <c r="M358" s="150" t="str">
        <f t="shared" si="26"/>
        <v>TAXES &amp; PERMIS - SERV. BMW</v>
      </c>
      <c r="N358" s="151">
        <f>+IF(OR($Q358=Parametres!$G$2,$Q358=Parametres!$G$3),I358,C358)</f>
        <v>0</v>
      </c>
      <c r="O358" s="151">
        <f>+IF(OR($Q358=Parametres!$G$2,$Q358=Parametres!$G$3),J358,D358)</f>
        <v>37.5</v>
      </c>
      <c r="P358" s="151">
        <f>+IF(OR($Q358=Parametres!$G$2,$Q358=Parametres!$G$3),K358,E358)</f>
        <v>37.5</v>
      </c>
      <c r="Q358" s="150" t="str">
        <f t="shared" si="27"/>
        <v>7-Dépenses</v>
      </c>
      <c r="R358" s="149" t="str">
        <f t="shared" si="28"/>
        <v>89</v>
      </c>
      <c r="S358" s="150" t="str">
        <f t="shared" si="29"/>
        <v>_</v>
      </c>
      <c r="T358" s="152" t="str">
        <f>+VLOOKUP($L358,Data_Validation!$A:$D,1,0)</f>
        <v>89E</v>
      </c>
      <c r="U358" s="152" t="str">
        <f>+VLOOKUP($L358,Data_Validation!$A:$D,3,0)</f>
        <v>Service</v>
      </c>
      <c r="V358" s="152" t="str">
        <f>+VLOOKUP($L358,Data_Validation!$A:$D,4,0)</f>
        <v>Taxes d`affaires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1678</v>
      </c>
      <c r="B359" s="708" t="s">
        <v>835</v>
      </c>
      <c r="C359" s="710">
        <v>0</v>
      </c>
      <c r="D359" s="710">
        <v>30</v>
      </c>
      <c r="E359" s="710">
        <v>30</v>
      </c>
      <c r="F359" s="708" t="s">
        <v>2228</v>
      </c>
      <c r="G359" s="708" t="s">
        <v>2272</v>
      </c>
      <c r="H359" s="664" t="s">
        <v>3000</v>
      </c>
      <c r="I359" s="663"/>
      <c r="J359" s="663"/>
      <c r="K359" s="663"/>
      <c r="L359" s="149" t="str">
        <f t="shared" si="25"/>
        <v>89G</v>
      </c>
      <c r="M359" s="150" t="str">
        <f t="shared" si="26"/>
        <v>TAXES &amp; PERMIS - PIECE BMW</v>
      </c>
      <c r="N359" s="151">
        <f>+IF(OR($Q359=Parametres!$G$2,$Q359=Parametres!$G$3),I359,C359)</f>
        <v>0</v>
      </c>
      <c r="O359" s="151">
        <f>+IF(OR($Q359=Parametres!$G$2,$Q359=Parametres!$G$3),J359,D359)</f>
        <v>30</v>
      </c>
      <c r="P359" s="151">
        <f>+IF(OR($Q359=Parametres!$G$2,$Q359=Parametres!$G$3),K359,E359)</f>
        <v>30</v>
      </c>
      <c r="Q359" s="150" t="str">
        <f t="shared" si="27"/>
        <v>7-Dépenses</v>
      </c>
      <c r="R359" s="149" t="str">
        <f t="shared" si="28"/>
        <v>89</v>
      </c>
      <c r="S359" s="150" t="str">
        <f t="shared" si="29"/>
        <v>_</v>
      </c>
      <c r="T359" s="152" t="str">
        <f>+VLOOKUP($L359,Data_Validation!$A:$D,1,0)</f>
        <v>89G</v>
      </c>
      <c r="U359" s="152" t="str">
        <f>+VLOOKUP($L359,Data_Validation!$A:$D,3,0)</f>
        <v>pièces</v>
      </c>
      <c r="V359" s="152" t="str">
        <f>+VLOOKUP($L359,Data_Validation!$A:$D,4,0)</f>
        <v>Taxes d`affaires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1183</v>
      </c>
      <c r="B360" s="708" t="s">
        <v>687</v>
      </c>
      <c r="C360" s="709">
        <v>0</v>
      </c>
      <c r="D360" s="709">
        <v>371</v>
      </c>
      <c r="E360" s="709">
        <v>371</v>
      </c>
      <c r="F360" s="708" t="s">
        <v>2228</v>
      </c>
      <c r="G360" s="708" t="s">
        <v>2289</v>
      </c>
      <c r="H360" s="709" t="s">
        <v>3000</v>
      </c>
      <c r="I360" s="710"/>
      <c r="J360" s="710"/>
      <c r="K360" s="710"/>
      <c r="L360" s="149" t="str">
        <f t="shared" si="25"/>
        <v>90E</v>
      </c>
      <c r="M360" s="150" t="str">
        <f t="shared" si="26"/>
        <v>REP. EQUIPEMENT - SERV. BMW</v>
      </c>
      <c r="N360" s="151">
        <f>+IF(OR($Q360=Parametres!$G$2,$Q360=Parametres!$G$3),I360,C360)</f>
        <v>0</v>
      </c>
      <c r="O360" s="151">
        <f>+IF(OR($Q360=Parametres!$G$2,$Q360=Parametres!$G$3),J360,D360)</f>
        <v>371</v>
      </c>
      <c r="P360" s="151">
        <f>+IF(OR($Q360=Parametres!$G$2,$Q360=Parametres!$G$3),K360,E360)</f>
        <v>371</v>
      </c>
      <c r="Q360" s="150" t="str">
        <f t="shared" si="27"/>
        <v>7-Dépenses</v>
      </c>
      <c r="R360" s="149" t="str">
        <f t="shared" si="28"/>
        <v>90</v>
      </c>
      <c r="S360" s="150" t="str">
        <f t="shared" si="29"/>
        <v>_</v>
      </c>
      <c r="T360" s="152" t="str">
        <f>+VLOOKUP($L360,Data_Validation!$A:$D,1,0)</f>
        <v>90E</v>
      </c>
      <c r="U360" s="152" t="str">
        <f>+VLOOKUP($L360,Data_Validation!$A:$D,3,0)</f>
        <v>Service</v>
      </c>
      <c r="V360" s="152" t="str">
        <f>+VLOOKUP($L360,Data_Validation!$A:$D,4,0)</f>
        <v>Réparation équipement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1175</v>
      </c>
      <c r="B361" s="708" t="s">
        <v>894</v>
      </c>
      <c r="C361" s="710">
        <v>0</v>
      </c>
      <c r="D361" s="710">
        <v>948.8</v>
      </c>
      <c r="E361" s="710">
        <v>948.8</v>
      </c>
      <c r="F361" s="708" t="s">
        <v>2228</v>
      </c>
      <c r="G361" s="708" t="s">
        <v>2277</v>
      </c>
      <c r="H361" s="664" t="s">
        <v>3000</v>
      </c>
      <c r="I361" s="663"/>
      <c r="J361" s="663"/>
      <c r="K361" s="663"/>
      <c r="L361" s="149" t="str">
        <f t="shared" si="25"/>
        <v>91A</v>
      </c>
      <c r="M361" s="150" t="str">
        <f t="shared" si="26"/>
        <v>DEPREC. EQUIP. - NEUF BMW</v>
      </c>
      <c r="N361" s="151">
        <f>+IF(OR($Q361=Parametres!$G$2,$Q361=Parametres!$G$3),I361,C361)</f>
        <v>0</v>
      </c>
      <c r="O361" s="151">
        <f>+IF(OR($Q361=Parametres!$G$2,$Q361=Parametres!$G$3),J361,D361)</f>
        <v>948.8</v>
      </c>
      <c r="P361" s="151">
        <f>+IF(OR($Q361=Parametres!$G$2,$Q361=Parametres!$G$3),K361,E361)</f>
        <v>948.8</v>
      </c>
      <c r="Q361" s="150" t="str">
        <f t="shared" si="27"/>
        <v>7-Dépenses</v>
      </c>
      <c r="R361" s="149" t="str">
        <f t="shared" si="28"/>
        <v>91</v>
      </c>
      <c r="S361" s="150" t="str">
        <f t="shared" si="29"/>
        <v>_</v>
      </c>
      <c r="T361" s="152" t="str">
        <f>+VLOOKUP($L361,Data_Validation!$A:$D,1,0)</f>
        <v>91A</v>
      </c>
      <c r="U361" s="152" t="str">
        <f>+VLOOKUP($L361,Data_Validation!$A:$D,3,0)</f>
        <v>Véhicules neufs</v>
      </c>
      <c r="V361" s="152" t="str">
        <f>+VLOOKUP($L361,Data_Validation!$A:$D,4,0)</f>
        <v>amortissement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1214</v>
      </c>
      <c r="B362" s="708" t="s">
        <v>836</v>
      </c>
      <c r="C362" s="709">
        <v>0</v>
      </c>
      <c r="D362" s="709">
        <v>210.84</v>
      </c>
      <c r="E362" s="709">
        <v>210.84</v>
      </c>
      <c r="F362" s="708" t="s">
        <v>2228</v>
      </c>
      <c r="G362" s="708" t="s">
        <v>2277</v>
      </c>
      <c r="H362" s="709" t="s">
        <v>3000</v>
      </c>
      <c r="I362" s="710"/>
      <c r="J362" s="710"/>
      <c r="K362" s="710"/>
      <c r="L362" s="149" t="str">
        <f t="shared" si="25"/>
        <v>91C</v>
      </c>
      <c r="M362" s="150" t="str">
        <f t="shared" si="26"/>
        <v>DEPREC. EQUIP. - USAGE BMW</v>
      </c>
      <c r="N362" s="151">
        <f>+IF(OR($Q362=Parametres!$G$2,$Q362=Parametres!$G$3),I362,C362)</f>
        <v>0</v>
      </c>
      <c r="O362" s="151">
        <f>+IF(OR($Q362=Parametres!$G$2,$Q362=Parametres!$G$3),J362,D362)</f>
        <v>210.84</v>
      </c>
      <c r="P362" s="151">
        <f>+IF(OR($Q362=Parametres!$G$2,$Q362=Parametres!$G$3),K362,E362)</f>
        <v>210.84</v>
      </c>
      <c r="Q362" s="150" t="str">
        <f t="shared" si="27"/>
        <v>7-Dépenses</v>
      </c>
      <c r="R362" s="149" t="str">
        <f t="shared" si="28"/>
        <v>91</v>
      </c>
      <c r="S362" s="150" t="str">
        <f t="shared" si="29"/>
        <v>_</v>
      </c>
      <c r="T362" s="152" t="str">
        <f>+VLOOKUP($L362,Data_Validation!$A:$D,1,0)</f>
        <v>91C</v>
      </c>
      <c r="U362" s="152" t="str">
        <f>+VLOOKUP($L362,Data_Validation!$A:$D,3,0)</f>
        <v>Véhicules usagés</v>
      </c>
      <c r="V362" s="152" t="str">
        <f>+VLOOKUP($L362,Data_Validation!$A:$D,4,0)</f>
        <v>amortissement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1173</v>
      </c>
      <c r="B363" s="662" t="s">
        <v>944</v>
      </c>
      <c r="C363" s="663">
        <v>0</v>
      </c>
      <c r="D363" s="663">
        <v>2159.2199999999998</v>
      </c>
      <c r="E363" s="663">
        <v>2159.2199999999998</v>
      </c>
      <c r="F363" s="662" t="s">
        <v>2228</v>
      </c>
      <c r="G363" s="662" t="s">
        <v>2277</v>
      </c>
      <c r="H363" s="657" t="s">
        <v>3000</v>
      </c>
      <c r="I363" s="656"/>
      <c r="J363" s="656"/>
      <c r="K363" s="656"/>
      <c r="L363" s="149" t="str">
        <f t="shared" si="25"/>
        <v>91E</v>
      </c>
      <c r="M363" s="150" t="str">
        <f t="shared" si="26"/>
        <v>DEPREC. EQUIP. - SERV. BMW</v>
      </c>
      <c r="N363" s="151">
        <f>+IF(OR($Q363=Parametres!$G$2,$Q363=Parametres!$G$3),I363,C363)</f>
        <v>0</v>
      </c>
      <c r="O363" s="151">
        <f>+IF(OR($Q363=Parametres!$G$2,$Q363=Parametres!$G$3),J363,D363)</f>
        <v>2159.2199999999998</v>
      </c>
      <c r="P363" s="151">
        <f>+IF(OR($Q363=Parametres!$G$2,$Q363=Parametres!$G$3),K363,E363)</f>
        <v>2159.2199999999998</v>
      </c>
      <c r="Q363" s="150" t="str">
        <f t="shared" si="27"/>
        <v>7-Dépenses</v>
      </c>
      <c r="R363" s="149" t="str">
        <f t="shared" si="28"/>
        <v>91</v>
      </c>
      <c r="S363" s="150" t="str">
        <f t="shared" si="29"/>
        <v>_</v>
      </c>
      <c r="T363" s="152" t="str">
        <f>+VLOOKUP($L363,Data_Validation!$A:$D,1,0)</f>
        <v>91E</v>
      </c>
      <c r="U363" s="152" t="str">
        <f>+VLOOKUP($L363,Data_Validation!$A:$D,3,0)</f>
        <v>Service</v>
      </c>
      <c r="V363" s="152" t="str">
        <f>+VLOOKUP($L363,Data_Validation!$A:$D,4,0)</f>
        <v>amortissement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1188</v>
      </c>
      <c r="B364" s="708" t="s">
        <v>866</v>
      </c>
      <c r="C364" s="710">
        <v>0</v>
      </c>
      <c r="D364" s="710">
        <v>432.39</v>
      </c>
      <c r="E364" s="710">
        <v>432.39</v>
      </c>
      <c r="F364" s="708" t="s">
        <v>2228</v>
      </c>
      <c r="G364" s="708" t="s">
        <v>2277</v>
      </c>
      <c r="H364" s="664" t="s">
        <v>3000</v>
      </c>
      <c r="I364" s="663"/>
      <c r="J364" s="663"/>
      <c r="K364" s="663"/>
      <c r="L364" s="149" t="str">
        <f t="shared" si="25"/>
        <v>91G</v>
      </c>
      <c r="M364" s="150" t="str">
        <f t="shared" si="26"/>
        <v>DEPREC. EQUIP. - PIECE BMW</v>
      </c>
      <c r="N364" s="151">
        <f>+IF(OR($Q364=Parametres!$G$2,$Q364=Parametres!$G$3),I364,C364)</f>
        <v>0</v>
      </c>
      <c r="O364" s="151">
        <f>+IF(OR($Q364=Parametres!$G$2,$Q364=Parametres!$G$3),J364,D364)</f>
        <v>432.39</v>
      </c>
      <c r="P364" s="151">
        <f>+IF(OR($Q364=Parametres!$G$2,$Q364=Parametres!$G$3),K364,E364)</f>
        <v>432.39</v>
      </c>
      <c r="Q364" s="150" t="str">
        <f t="shared" si="27"/>
        <v>7-Dépenses</v>
      </c>
      <c r="R364" s="149" t="str">
        <f t="shared" si="28"/>
        <v>91</v>
      </c>
      <c r="S364" s="150" t="str">
        <f t="shared" si="29"/>
        <v>_</v>
      </c>
      <c r="T364" s="152" t="str">
        <f>+VLOOKUP($L364,Data_Validation!$A:$D,1,0)</f>
        <v>91G</v>
      </c>
      <c r="U364" s="152" t="str">
        <f>+VLOOKUP($L364,Data_Validation!$A:$D,3,0)</f>
        <v>pièces</v>
      </c>
      <c r="V364" s="152" t="str">
        <f>+VLOOKUP($L364,Data_Validation!$A:$D,4,0)</f>
        <v>amortissement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1615</v>
      </c>
      <c r="B365" s="708" t="s">
        <v>789</v>
      </c>
      <c r="C365" s="710">
        <v>0</v>
      </c>
      <c r="D365" s="710">
        <v>73.8</v>
      </c>
      <c r="E365" s="710">
        <v>73.8</v>
      </c>
      <c r="F365" s="708" t="s">
        <v>2228</v>
      </c>
      <c r="G365" s="708" t="s">
        <v>2260</v>
      </c>
      <c r="H365" s="664" t="s">
        <v>3000</v>
      </c>
      <c r="I365" s="663"/>
      <c r="J365" s="663"/>
      <c r="K365" s="663"/>
      <c r="L365" s="149" t="str">
        <f t="shared" si="25"/>
        <v>92A</v>
      </c>
      <c r="M365" s="150" t="str">
        <f t="shared" si="26"/>
        <v>LOCATION EQUIP. - NEUF BMW</v>
      </c>
      <c r="N365" s="151">
        <f>+IF(OR($Q365=Parametres!$G$2,$Q365=Parametres!$G$3),I365,C365)</f>
        <v>0</v>
      </c>
      <c r="O365" s="151">
        <f>+IF(OR($Q365=Parametres!$G$2,$Q365=Parametres!$G$3),J365,D365)</f>
        <v>73.8</v>
      </c>
      <c r="P365" s="151">
        <f>+IF(OR($Q365=Parametres!$G$2,$Q365=Parametres!$G$3),K365,E365)</f>
        <v>73.8</v>
      </c>
      <c r="Q365" s="150" t="str">
        <f t="shared" si="27"/>
        <v>7-Dépenses</v>
      </c>
      <c r="R365" s="149" t="str">
        <f t="shared" si="28"/>
        <v>92</v>
      </c>
      <c r="S365" s="150" t="str">
        <f t="shared" si="29"/>
        <v>_</v>
      </c>
      <c r="T365" s="152" t="str">
        <f>+VLOOKUP($L365,Data_Validation!$A:$D,1,0)</f>
        <v>92A</v>
      </c>
      <c r="U365" s="152" t="str">
        <f>+VLOOKUP($L365,Data_Validation!$A:$D,3,0)</f>
        <v>Véhicules neufs</v>
      </c>
      <c r="V365" s="152" t="str">
        <f>+VLOOKUP($L365,Data_Validation!$A:$D,4,0)</f>
        <v>Location équipement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1607</v>
      </c>
      <c r="B366" s="708" t="s">
        <v>771</v>
      </c>
      <c r="C366" s="710">
        <v>0</v>
      </c>
      <c r="D366" s="710">
        <v>16.399999999999999</v>
      </c>
      <c r="E366" s="710">
        <v>16.399999999999999</v>
      </c>
      <c r="F366" s="708" t="s">
        <v>2228</v>
      </c>
      <c r="G366" s="708" t="s">
        <v>2260</v>
      </c>
      <c r="H366" s="664" t="s">
        <v>3000</v>
      </c>
      <c r="I366" s="663"/>
      <c r="J366" s="663"/>
      <c r="K366" s="663"/>
      <c r="L366" s="149" t="str">
        <f t="shared" si="25"/>
        <v>92C</v>
      </c>
      <c r="M366" s="150" t="str">
        <f t="shared" si="26"/>
        <v>LOCATION EQUIP. - USAGE BMW</v>
      </c>
      <c r="N366" s="151">
        <f>+IF(OR($Q366=Parametres!$G$2,$Q366=Parametres!$G$3),I366,C366)</f>
        <v>0</v>
      </c>
      <c r="O366" s="151">
        <f>+IF(OR($Q366=Parametres!$G$2,$Q366=Parametres!$G$3),J366,D366)</f>
        <v>16.399999999999999</v>
      </c>
      <c r="P366" s="151">
        <f>+IF(OR($Q366=Parametres!$G$2,$Q366=Parametres!$G$3),K366,E366)</f>
        <v>16.399999999999999</v>
      </c>
      <c r="Q366" s="150" t="str">
        <f t="shared" si="27"/>
        <v>7-Dépenses</v>
      </c>
      <c r="R366" s="149" t="str">
        <f t="shared" si="28"/>
        <v>92</v>
      </c>
      <c r="S366" s="150" t="str">
        <f t="shared" si="29"/>
        <v>_</v>
      </c>
      <c r="T366" s="152" t="str">
        <f>+VLOOKUP($L366,Data_Validation!$A:$D,1,0)</f>
        <v>92C</v>
      </c>
      <c r="U366" s="152" t="str">
        <f>+VLOOKUP($L366,Data_Validation!$A:$D,3,0)</f>
        <v>Véhicules usagés</v>
      </c>
      <c r="V366" s="152" t="str">
        <f>+VLOOKUP($L366,Data_Validation!$A:$D,4,0)</f>
        <v>Location équipement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1611</v>
      </c>
      <c r="B367" s="662" t="s">
        <v>775</v>
      </c>
      <c r="C367" s="663">
        <v>0</v>
      </c>
      <c r="D367" s="663">
        <v>222.6</v>
      </c>
      <c r="E367" s="663">
        <v>222.6</v>
      </c>
      <c r="F367" s="662" t="s">
        <v>2228</v>
      </c>
      <c r="G367" s="662" t="s">
        <v>2260</v>
      </c>
      <c r="H367" s="657" t="s">
        <v>3000</v>
      </c>
      <c r="I367" s="656"/>
      <c r="J367" s="656"/>
      <c r="K367" s="656"/>
      <c r="L367" s="149" t="str">
        <f t="shared" si="25"/>
        <v>92E</v>
      </c>
      <c r="M367" s="150" t="str">
        <f t="shared" si="26"/>
        <v>LOCATION EQUIP. - SERV. BMW</v>
      </c>
      <c r="N367" s="151">
        <f>+IF(OR($Q367=Parametres!$G$2,$Q367=Parametres!$G$3),I367,C367)</f>
        <v>0</v>
      </c>
      <c r="O367" s="151">
        <f>+IF(OR($Q367=Parametres!$G$2,$Q367=Parametres!$G$3),J367,D367)</f>
        <v>222.6</v>
      </c>
      <c r="P367" s="151">
        <f>+IF(OR($Q367=Parametres!$G$2,$Q367=Parametres!$G$3),K367,E367)</f>
        <v>222.6</v>
      </c>
      <c r="Q367" s="150" t="str">
        <f t="shared" si="27"/>
        <v>7-Dépenses</v>
      </c>
      <c r="R367" s="149" t="str">
        <f t="shared" si="28"/>
        <v>92</v>
      </c>
      <c r="S367" s="150" t="str">
        <f t="shared" si="29"/>
        <v>_</v>
      </c>
      <c r="T367" s="152" t="str">
        <f>+VLOOKUP($L367,Data_Validation!$A:$D,1,0)</f>
        <v>92E</v>
      </c>
      <c r="U367" s="152" t="str">
        <f>+VLOOKUP($L367,Data_Validation!$A:$D,3,0)</f>
        <v>Service</v>
      </c>
      <c r="V367" s="152" t="str">
        <f>+VLOOKUP($L367,Data_Validation!$A:$D,4,0)</f>
        <v>Location équipement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1610</v>
      </c>
      <c r="B368" s="708" t="s">
        <v>774</v>
      </c>
      <c r="C368" s="710">
        <v>0</v>
      </c>
      <c r="D368" s="710">
        <v>32.799999999999997</v>
      </c>
      <c r="E368" s="710">
        <v>32.799999999999997</v>
      </c>
      <c r="F368" s="708" t="s">
        <v>2228</v>
      </c>
      <c r="G368" s="708" t="s">
        <v>2260</v>
      </c>
      <c r="H368" s="664" t="s">
        <v>3000</v>
      </c>
      <c r="I368" s="663"/>
      <c r="J368" s="663"/>
      <c r="K368" s="663"/>
      <c r="L368" s="149" t="str">
        <f t="shared" si="25"/>
        <v>92G</v>
      </c>
      <c r="M368" s="150" t="str">
        <f t="shared" si="26"/>
        <v>LOCATION EQUIP. - PIECE BMW</v>
      </c>
      <c r="N368" s="151">
        <f>+IF(OR($Q368=Parametres!$G$2,$Q368=Parametres!$G$3),I368,C368)</f>
        <v>0</v>
      </c>
      <c r="O368" s="151">
        <f>+IF(OR($Q368=Parametres!$G$2,$Q368=Parametres!$G$3),J368,D368)</f>
        <v>32.799999999999997</v>
      </c>
      <c r="P368" s="151">
        <f>+IF(OR($Q368=Parametres!$G$2,$Q368=Parametres!$G$3),K368,E368)</f>
        <v>32.799999999999997</v>
      </c>
      <c r="Q368" s="150" t="str">
        <f t="shared" si="27"/>
        <v>7-Dépenses</v>
      </c>
      <c r="R368" s="149" t="str">
        <f t="shared" si="28"/>
        <v>92</v>
      </c>
      <c r="S368" s="150" t="str">
        <f t="shared" si="29"/>
        <v>_</v>
      </c>
      <c r="T368" s="152" t="str">
        <f>+VLOOKUP($L368,Data_Validation!$A:$D,1,0)</f>
        <v>92G</v>
      </c>
      <c r="U368" s="152" t="str">
        <f>+VLOOKUP($L368,Data_Validation!$A:$D,3,0)</f>
        <v>pièces</v>
      </c>
      <c r="V368" s="152" t="str">
        <f>+VLOOKUP($L368,Data_Validation!$A:$D,4,0)</f>
        <v>Location équipement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138</v>
      </c>
      <c r="B369" s="662" t="s">
        <v>430</v>
      </c>
      <c r="C369" s="663">
        <v>0</v>
      </c>
      <c r="D369" s="663">
        <v>-0.15</v>
      </c>
      <c r="E369" s="663">
        <v>-0.15</v>
      </c>
      <c r="F369" s="662" t="s">
        <v>2229</v>
      </c>
      <c r="G369" s="662" t="s">
        <v>430</v>
      </c>
      <c r="H369" s="657" t="s">
        <v>3000</v>
      </c>
      <c r="I369" s="656"/>
      <c r="J369" s="656"/>
      <c r="K369" s="656"/>
      <c r="L369" s="149" t="str">
        <f t="shared" si="25"/>
        <v>805</v>
      </c>
      <c r="M369" s="150" t="str">
        <f t="shared" si="26"/>
        <v>AUTRES REVENUS</v>
      </c>
      <c r="N369" s="151">
        <f>+IF(OR($Q369=Parametres!$G$2,$Q369=Parametres!$G$3),I369,C369)</f>
        <v>0</v>
      </c>
      <c r="O369" s="151">
        <f>+IF(OR($Q369=Parametres!$G$2,$Q369=Parametres!$G$3),J369,D369)</f>
        <v>-0.15</v>
      </c>
      <c r="P369" s="151">
        <f>+IF(OR($Q369=Parametres!$G$2,$Q369=Parametres!$G$3),K369,E369)</f>
        <v>-0.15</v>
      </c>
      <c r="Q369" s="150" t="str">
        <f t="shared" si="27"/>
        <v>8-Autres revenus</v>
      </c>
      <c r="R369" s="149" t="str">
        <f t="shared" si="28"/>
        <v>805</v>
      </c>
      <c r="S369" s="150" t="str">
        <f t="shared" si="29"/>
        <v>_</v>
      </c>
      <c r="T369" s="152" t="str">
        <f>+VLOOKUP($L369,Data_Validation!$A:$D,1,0)</f>
        <v>805</v>
      </c>
      <c r="U369" s="152" t="str">
        <f>+VLOOKUP($L369,Data_Validation!$A:$D,3,0)</f>
        <v>TOTAL  DES  REVENUS  ET  DÉPENSES</v>
      </c>
      <c r="V369" s="152" t="str">
        <f>+VLOOKUP($L369,Data_Validation!$A:$D,4,0)</f>
        <v>Revenus autres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1123</v>
      </c>
      <c r="B370" s="708" t="s">
        <v>440</v>
      </c>
      <c r="C370" s="710">
        <v>0</v>
      </c>
      <c r="D370" s="710">
        <v>-4165</v>
      </c>
      <c r="E370" s="710">
        <v>-4165</v>
      </c>
      <c r="F370" s="708" t="s">
        <v>2229</v>
      </c>
      <c r="G370" s="708" t="s">
        <v>2299</v>
      </c>
      <c r="H370" s="664" t="s">
        <v>3000</v>
      </c>
      <c r="I370" s="663"/>
      <c r="J370" s="663"/>
      <c r="K370" s="663"/>
      <c r="L370" s="149" t="str">
        <f t="shared" si="25"/>
        <v>806A</v>
      </c>
      <c r="M370" s="150" t="str">
        <f t="shared" si="26"/>
        <v>FRAIS D'ADMINISTRATION NEUF</v>
      </c>
      <c r="N370" s="151">
        <f>+IF(OR($Q370=Parametres!$G$2,$Q370=Parametres!$G$3),I370,C370)</f>
        <v>0</v>
      </c>
      <c r="O370" s="151">
        <f>+IF(OR($Q370=Parametres!$G$2,$Q370=Parametres!$G$3),J370,D370)</f>
        <v>-4165</v>
      </c>
      <c r="P370" s="151">
        <f>+IF(OR($Q370=Parametres!$G$2,$Q370=Parametres!$G$3),K370,E370)</f>
        <v>-4165</v>
      </c>
      <c r="Q370" s="150" t="str">
        <f t="shared" si="27"/>
        <v>8-Autres revenus</v>
      </c>
      <c r="R370" s="149" t="str">
        <f t="shared" si="28"/>
        <v>806</v>
      </c>
      <c r="S370" s="150" t="str">
        <f t="shared" si="29"/>
        <v>_</v>
      </c>
      <c r="T370" s="152" t="str">
        <f>+VLOOKUP($L370,Data_Validation!$A:$D,1,0)</f>
        <v>806A</v>
      </c>
      <c r="U370" s="152" t="str">
        <f>+VLOOKUP($L370,Data_Validation!$A:$D,3,0)</f>
        <v>Véhicules neufs</v>
      </c>
      <c r="V370" s="152" t="str">
        <f>+VLOOKUP($L370,Data_Validation!$A:$D,4,0)</f>
        <v>Frais administration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1144</v>
      </c>
      <c r="B371" s="708" t="s">
        <v>447</v>
      </c>
      <c r="C371" s="710">
        <v>0</v>
      </c>
      <c r="D371" s="710">
        <v>-2975</v>
      </c>
      <c r="E371" s="710">
        <v>-2975</v>
      </c>
      <c r="F371" s="708" t="s">
        <v>2229</v>
      </c>
      <c r="G371" s="708" t="s">
        <v>2299</v>
      </c>
      <c r="H371" s="664" t="s">
        <v>3000</v>
      </c>
      <c r="I371" s="663"/>
      <c r="J371" s="663"/>
      <c r="K371" s="663"/>
      <c r="L371" s="149" t="str">
        <f t="shared" si="25"/>
        <v>806C</v>
      </c>
      <c r="M371" s="150" t="str">
        <f t="shared" si="26"/>
        <v>FRAIS ADMINISTRATION USAGE</v>
      </c>
      <c r="N371" s="151">
        <f>+IF(OR($Q371=Parametres!$G$2,$Q371=Parametres!$G$3),I371,C371)</f>
        <v>0</v>
      </c>
      <c r="O371" s="151">
        <f>+IF(OR($Q371=Parametres!$G$2,$Q371=Parametres!$G$3),J371,D371)</f>
        <v>-2975</v>
      </c>
      <c r="P371" s="151">
        <f>+IF(OR($Q371=Parametres!$G$2,$Q371=Parametres!$G$3),K371,E371)</f>
        <v>-2975</v>
      </c>
      <c r="Q371" s="150" t="str">
        <f t="shared" si="27"/>
        <v>8-Autres revenus</v>
      </c>
      <c r="R371" s="149" t="str">
        <f t="shared" si="28"/>
        <v>806</v>
      </c>
      <c r="S371" s="150" t="str">
        <f t="shared" si="29"/>
        <v>_</v>
      </c>
      <c r="T371" s="152" t="str">
        <f>+VLOOKUP($L371,Data_Validation!$A:$D,1,0)</f>
        <v>806C</v>
      </c>
      <c r="U371" s="152" t="str">
        <f>+VLOOKUP($L371,Data_Validation!$A:$D,3,0)</f>
        <v>Véhicules usagés</v>
      </c>
      <c r="V371" s="152" t="str">
        <f>+VLOOKUP($L371,Data_Validation!$A:$D,4,0)</f>
        <v>Frais administration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1106</v>
      </c>
      <c r="B372" s="708" t="s">
        <v>433</v>
      </c>
      <c r="C372" s="710">
        <v>0</v>
      </c>
      <c r="D372" s="710">
        <v>-10164</v>
      </c>
      <c r="E372" s="710">
        <v>-10164</v>
      </c>
      <c r="F372" s="708" t="s">
        <v>2229</v>
      </c>
      <c r="G372" s="708" t="s">
        <v>2298</v>
      </c>
      <c r="H372" s="664" t="s">
        <v>3000</v>
      </c>
      <c r="I372" s="664"/>
      <c r="J372" s="664"/>
      <c r="K372" s="664"/>
      <c r="L372" s="149" t="str">
        <f t="shared" si="25"/>
        <v>814A</v>
      </c>
      <c r="M372" s="150" t="str">
        <f t="shared" si="26"/>
        <v>MSP - BMW</v>
      </c>
      <c r="N372" s="151">
        <f>+IF(OR($Q372=Parametres!$G$2,$Q372=Parametres!$G$3),I372,C372)</f>
        <v>0</v>
      </c>
      <c r="O372" s="151">
        <f>+IF(OR($Q372=Parametres!$G$2,$Q372=Parametres!$G$3),J372,D372)</f>
        <v>-10164</v>
      </c>
      <c r="P372" s="151">
        <f>+IF(OR($Q372=Parametres!$G$2,$Q372=Parametres!$G$3),K372,E372)</f>
        <v>-10164</v>
      </c>
      <c r="Q372" s="150" t="str">
        <f t="shared" si="27"/>
        <v>8-Autres revenus</v>
      </c>
      <c r="R372" s="149" t="str">
        <f t="shared" si="28"/>
        <v>814</v>
      </c>
      <c r="S372" s="150" t="str">
        <f t="shared" si="29"/>
        <v>_</v>
      </c>
      <c r="T372" s="152" t="str">
        <f>+VLOOKUP($L372,Data_Validation!$A:$D,1,0)</f>
        <v>814A</v>
      </c>
      <c r="U372" s="152" t="str">
        <f>+VLOOKUP($L372,Data_Validation!$A:$D,3,0)</f>
        <v>TOTAL  DES  REVENUS  ET  DÉPENSES</v>
      </c>
      <c r="V372" s="152" t="str">
        <f>+VLOOKUP($L372,Data_Validation!$A:$D,4,0)</f>
        <v>Facility Fund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1098</v>
      </c>
      <c r="B373" s="662" t="s">
        <v>428</v>
      </c>
      <c r="C373" s="663">
        <v>0</v>
      </c>
      <c r="D373" s="663">
        <v>-20598</v>
      </c>
      <c r="E373" s="663">
        <v>-20598</v>
      </c>
      <c r="F373" s="662" t="s">
        <v>2229</v>
      </c>
      <c r="G373" s="662" t="s">
        <v>428</v>
      </c>
      <c r="H373" s="657" t="s">
        <v>3000</v>
      </c>
      <c r="I373" s="656"/>
      <c r="J373" s="656"/>
      <c r="K373" s="656"/>
      <c r="L373" s="149" t="str">
        <f t="shared" si="25"/>
        <v>815</v>
      </c>
      <c r="M373" s="150" t="str">
        <f t="shared" si="26"/>
        <v>REVENU RBSC BMW</v>
      </c>
      <c r="N373" s="151">
        <f>+IF(OR($Q373=Parametres!$G$2,$Q373=Parametres!$G$3),I373,C373)</f>
        <v>0</v>
      </c>
      <c r="O373" s="151">
        <f>+IF(OR($Q373=Parametres!$G$2,$Q373=Parametres!$G$3),J373,D373)</f>
        <v>-20598</v>
      </c>
      <c r="P373" s="151">
        <f>+IF(OR($Q373=Parametres!$G$2,$Q373=Parametres!$G$3),K373,E373)</f>
        <v>-20598</v>
      </c>
      <c r="Q373" s="150" t="str">
        <f t="shared" si="27"/>
        <v>8-Autres revenus</v>
      </c>
      <c r="R373" s="149" t="str">
        <f t="shared" si="28"/>
        <v>815</v>
      </c>
      <c r="S373" s="150" t="str">
        <f t="shared" si="29"/>
        <v>_</v>
      </c>
      <c r="T373" s="152" t="str">
        <f>+VLOOKUP($L373,Data_Validation!$A:$D,1,0)</f>
        <v>815</v>
      </c>
      <c r="U373" s="152" t="str">
        <f>+VLOOKUP($L373,Data_Validation!$A:$D,3,0)</f>
        <v>Véhicules neufs</v>
      </c>
      <c r="V373" s="152" t="str">
        <f>+VLOOKUP($L373,Data_Validation!$A:$D,4,0)</f>
        <v>RBSC NEUF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1482</v>
      </c>
      <c r="B374" s="708" t="s">
        <v>688</v>
      </c>
      <c r="C374" s="709"/>
      <c r="D374" s="1274"/>
      <c r="E374" s="1274"/>
      <c r="F374" s="708" t="s">
        <v>4</v>
      </c>
      <c r="G374" s="708" t="s">
        <v>352</v>
      </c>
      <c r="H374" s="709" t="s">
        <v>3000</v>
      </c>
      <c r="I374" s="710">
        <v>0</v>
      </c>
      <c r="J374" s="710">
        <v>18</v>
      </c>
      <c r="K374" s="710">
        <v>18</v>
      </c>
      <c r="L374" s="149" t="str">
        <f t="shared" si="25"/>
        <v>230@</v>
      </c>
      <c r="M374" s="150" t="str">
        <f t="shared" si="26"/>
        <v># DE VOITURES NEUVES BMW</v>
      </c>
      <c r="N374" s="151">
        <f>+IF(OR($Q374=Parametres!$G$2,$Q374=Parametres!$G$3),I374,C374)</f>
        <v>0</v>
      </c>
      <c r="O374" s="151">
        <f>+IF(OR($Q374=Parametres!$G$2,$Q374=Parametres!$G$3),J374,D374)</f>
        <v>18</v>
      </c>
      <c r="P374" s="151">
        <f>+IF(OR($Q374=Parametres!$G$2,$Q374=Parametres!$G$3),K374,E374)</f>
        <v>18</v>
      </c>
      <c r="Q374" s="150" t="str">
        <f t="shared" si="27"/>
        <v>10-Compte compteur</v>
      </c>
      <c r="R374" s="149" t="str">
        <f t="shared" si="28"/>
        <v>230</v>
      </c>
      <c r="S374" s="150" t="str">
        <f t="shared" si="29"/>
        <v>_</v>
      </c>
      <c r="T374" s="152" t="str">
        <f>+VLOOKUP($L374,Data_Validation!$A:$D,1,0)</f>
        <v>230@</v>
      </c>
      <c r="U374" s="152" t="str">
        <f>+VLOOKUP($L374,Data_Validation!$A:$D,3,0)</f>
        <v>Autres</v>
      </c>
      <c r="V374" s="152">
        <f>+VLOOKUP($L374,Data_Validation!$A:$D,4,0)</f>
        <v>0</v>
      </c>
      <c r="W374" s="152">
        <f>+VLOOKUP($L374,Data_Validation!$A:$E,5,0)</f>
        <v>0</v>
      </c>
      <c r="X374" s="152">
        <f>+VLOOKUP($L374,Data_Validation!$A:$F,6,0)</f>
        <v>0</v>
      </c>
    </row>
    <row r="375" spans="1:24" ht="15" customHeight="1">
      <c r="A375" s="708" t="s">
        <v>1483</v>
      </c>
      <c r="B375" s="708" t="s">
        <v>689</v>
      </c>
      <c r="C375" s="710"/>
      <c r="D375" s="710"/>
      <c r="E375" s="710"/>
      <c r="F375" s="708" t="s">
        <v>4</v>
      </c>
      <c r="G375" s="708" t="s">
        <v>382</v>
      </c>
      <c r="H375" s="657" t="s">
        <v>3000</v>
      </c>
      <c r="I375" s="656">
        <v>0</v>
      </c>
      <c r="J375" s="656">
        <v>42</v>
      </c>
      <c r="K375" s="656">
        <v>42</v>
      </c>
      <c r="L375" s="149" t="str">
        <f t="shared" si="25"/>
        <v>232@</v>
      </c>
      <c r="M375" s="150" t="str">
        <f t="shared" si="26"/>
        <v># DE CAMIONS NEUFS BMW</v>
      </c>
      <c r="N375" s="151">
        <f>+IF(OR($Q375=Parametres!$G$2,$Q375=Parametres!$G$3),I375,C375)</f>
        <v>0</v>
      </c>
      <c r="O375" s="151">
        <f>+IF(OR($Q375=Parametres!$G$2,$Q375=Parametres!$G$3),J375,D375)</f>
        <v>42</v>
      </c>
      <c r="P375" s="151">
        <f>+IF(OR($Q375=Parametres!$G$2,$Q375=Parametres!$G$3),K375,E375)</f>
        <v>42</v>
      </c>
      <c r="Q375" s="150" t="str">
        <f t="shared" si="27"/>
        <v>10-Compte compteur</v>
      </c>
      <c r="R375" s="149" t="str">
        <f t="shared" si="28"/>
        <v>232</v>
      </c>
      <c r="S375" s="150" t="str">
        <f t="shared" si="29"/>
        <v>_</v>
      </c>
      <c r="T375" s="152" t="str">
        <f>+VLOOKUP($L375,Data_Validation!$A:$D,1,0)</f>
        <v>232@</v>
      </c>
      <c r="U375" s="152" t="str">
        <f>+VLOOKUP($L375,Data_Validation!$A:$D,3,0)</f>
        <v>Autres</v>
      </c>
      <c r="V375" s="152">
        <f>+VLOOKUP($L375,Data_Validation!$A:$D,4,0)</f>
        <v>0</v>
      </c>
      <c r="W375" s="152">
        <f>+VLOOKUP($L375,Data_Validation!$A:$E,5,0)</f>
        <v>0</v>
      </c>
      <c r="X375" s="152">
        <f>+VLOOKUP($L375,Data_Validation!$A:$F,6,0)</f>
        <v>0</v>
      </c>
    </row>
    <row r="376" spans="1:24" ht="15" customHeight="1">
      <c r="A376" s="662" t="s">
        <v>1875</v>
      </c>
      <c r="B376" s="662" t="s">
        <v>1001</v>
      </c>
      <c r="C376" s="663"/>
      <c r="D376" s="663"/>
      <c r="E376" s="663"/>
      <c r="F376" s="662" t="s">
        <v>4</v>
      </c>
      <c r="G376" s="662" t="s">
        <v>353</v>
      </c>
      <c r="H376" s="657" t="s">
        <v>3000</v>
      </c>
      <c r="I376" s="656">
        <v>0</v>
      </c>
      <c r="J376" s="656">
        <v>14</v>
      </c>
      <c r="K376" s="656">
        <v>14</v>
      </c>
      <c r="L376" s="149" t="str">
        <f t="shared" si="25"/>
        <v>234@</v>
      </c>
      <c r="M376" s="150" t="str">
        <f t="shared" si="26"/>
        <v># OF INVENTAIRE VEHICULES I</v>
      </c>
      <c r="N376" s="151">
        <f>+IF(OR($Q376=Parametres!$G$2,$Q376=Parametres!$G$3),I376,C376)</f>
        <v>0</v>
      </c>
      <c r="O376" s="151">
        <f>+IF(OR($Q376=Parametres!$G$2,$Q376=Parametres!$G$3),J376,D376)</f>
        <v>14</v>
      </c>
      <c r="P376" s="151">
        <f>+IF(OR($Q376=Parametres!$G$2,$Q376=Parametres!$G$3),K376,E376)</f>
        <v>14</v>
      </c>
      <c r="Q376" s="150" t="str">
        <f t="shared" si="27"/>
        <v>10-Compte compteur</v>
      </c>
      <c r="R376" s="149" t="str">
        <f t="shared" si="28"/>
        <v>234</v>
      </c>
      <c r="S376" s="150" t="str">
        <f t="shared" si="29"/>
        <v>_</v>
      </c>
      <c r="T376" s="152" t="str">
        <f>+VLOOKUP($L376,Data_Validation!$A:$D,1,0)</f>
        <v>234@</v>
      </c>
      <c r="U376" s="152" t="str">
        <f>+VLOOKUP($L376,Data_Validation!$A:$D,3,0)</f>
        <v>Autres</v>
      </c>
      <c r="V376" s="152">
        <f>+VLOOKUP($L376,Data_Validation!$A:$D,4,0)</f>
        <v>0</v>
      </c>
      <c r="W376" s="152">
        <f>+VLOOKUP($L376,Data_Validation!$A:$E,5,0)</f>
        <v>0</v>
      </c>
      <c r="X376" s="152">
        <f>+VLOOKUP($L376,Data_Validation!$A:$F,6,0)</f>
        <v>0</v>
      </c>
    </row>
    <row r="377" spans="1:24" ht="15" customHeight="1">
      <c r="A377" s="708" t="s">
        <v>1484</v>
      </c>
      <c r="B377" s="708" t="s">
        <v>690</v>
      </c>
      <c r="C377" s="710"/>
      <c r="D377" s="710"/>
      <c r="E377" s="710"/>
      <c r="F377" s="708" t="s">
        <v>4</v>
      </c>
      <c r="G377" s="708" t="s">
        <v>408</v>
      </c>
      <c r="H377" s="664" t="s">
        <v>3000</v>
      </c>
      <c r="I377" s="663">
        <v>0</v>
      </c>
      <c r="J377" s="663">
        <v>9</v>
      </c>
      <c r="K377" s="663">
        <v>9</v>
      </c>
      <c r="L377" s="149" t="str">
        <f t="shared" si="25"/>
        <v>240A@</v>
      </c>
      <c r="M377" s="150" t="str">
        <f t="shared" si="26"/>
        <v># DE VOITURES USAGEES BMW</v>
      </c>
      <c r="N377" s="151">
        <f>+IF(OR($Q377=Parametres!$G$2,$Q377=Parametres!$G$3),I377,C377)</f>
        <v>0</v>
      </c>
      <c r="O377" s="151">
        <f>+IF(OR($Q377=Parametres!$G$2,$Q377=Parametres!$G$3),J377,D377)</f>
        <v>9</v>
      </c>
      <c r="P377" s="151">
        <f>+IF(OR($Q377=Parametres!$G$2,$Q377=Parametres!$G$3),K377,E377)</f>
        <v>9</v>
      </c>
      <c r="Q377" s="150" t="str">
        <f t="shared" si="27"/>
        <v>10-Compte compteur</v>
      </c>
      <c r="R377" s="149" t="str">
        <f t="shared" si="28"/>
        <v>240A</v>
      </c>
      <c r="S377" s="150" t="str">
        <f t="shared" si="29"/>
        <v>_</v>
      </c>
      <c r="T377" s="152" t="str">
        <f>+VLOOKUP($L377,Data_Validation!$A:$D,1,0)</f>
        <v>240A@</v>
      </c>
      <c r="U377" s="152" t="str">
        <f>+VLOOKUP($L377,Data_Validation!$A:$D,3,0)</f>
        <v>Autres</v>
      </c>
      <c r="V377" s="152">
        <f>+VLOOKUP($L377,Data_Validation!$A:$D,4,0)</f>
        <v>0</v>
      </c>
      <c r="W377" s="152">
        <f>+VLOOKUP($L377,Data_Validation!$A:$E,5,0)</f>
        <v>0</v>
      </c>
      <c r="X377" s="152">
        <f>+VLOOKUP($L377,Data_Validation!$A:$F,6,0)</f>
        <v>0</v>
      </c>
    </row>
    <row r="378" spans="1:24" ht="15" customHeight="1">
      <c r="A378" s="708" t="s">
        <v>1485</v>
      </c>
      <c r="B378" s="708" t="s">
        <v>691</v>
      </c>
      <c r="C378" s="710"/>
      <c r="D378" s="710"/>
      <c r="E378" s="710"/>
      <c r="F378" s="708" t="s">
        <v>4</v>
      </c>
      <c r="G378" s="708" t="s">
        <v>432</v>
      </c>
      <c r="H378" s="602" t="s">
        <v>3000</v>
      </c>
      <c r="I378" s="601">
        <v>0</v>
      </c>
      <c r="J378" s="601">
        <v>7</v>
      </c>
      <c r="K378" s="601">
        <v>7</v>
      </c>
      <c r="L378" s="149" t="str">
        <f t="shared" si="25"/>
        <v>240C@</v>
      </c>
      <c r="M378" s="150" t="str">
        <f t="shared" si="26"/>
        <v># DE VEHICULES USAGES AUTRES</v>
      </c>
      <c r="N378" s="151">
        <f>+IF(OR($Q378=Parametres!$G$2,$Q378=Parametres!$G$3),I378,C378)</f>
        <v>0</v>
      </c>
      <c r="O378" s="151">
        <f>+IF(OR($Q378=Parametres!$G$2,$Q378=Parametres!$G$3),J378,D378)</f>
        <v>7</v>
      </c>
      <c r="P378" s="151">
        <f>+IF(OR($Q378=Parametres!$G$2,$Q378=Parametres!$G$3),K378,E378)</f>
        <v>7</v>
      </c>
      <c r="Q378" s="150" t="str">
        <f t="shared" si="27"/>
        <v>10-Compte compteur</v>
      </c>
      <c r="R378" s="149" t="str">
        <f t="shared" si="28"/>
        <v>240C</v>
      </c>
      <c r="S378" s="150" t="str">
        <f t="shared" si="29"/>
        <v>_</v>
      </c>
      <c r="T378" s="152" t="str">
        <f>+VLOOKUP($L378,Data_Validation!$A:$D,1,0)</f>
        <v>240C@</v>
      </c>
      <c r="U378" s="152" t="str">
        <f>+VLOOKUP($L378,Data_Validation!$A:$D,3,0)</f>
        <v>Autres</v>
      </c>
      <c r="V378" s="152">
        <f>+VLOOKUP($L378,Data_Validation!$A:$D,4,0)</f>
        <v>0</v>
      </c>
      <c r="W378" s="152">
        <f>+VLOOKUP($L378,Data_Validation!$A:$E,5,0)</f>
        <v>0</v>
      </c>
      <c r="X378" s="152">
        <f>+VLOOKUP($L378,Data_Validation!$A:$F,6,0)</f>
        <v>0</v>
      </c>
    </row>
    <row r="379" spans="1:24" ht="15.75" customHeight="1">
      <c r="A379" s="708" t="s">
        <v>1486</v>
      </c>
      <c r="B379" s="708" t="s">
        <v>1035</v>
      </c>
      <c r="C379" s="709"/>
      <c r="D379" s="709"/>
      <c r="E379" s="709"/>
      <c r="F379" s="708" t="s">
        <v>4</v>
      </c>
      <c r="G379" s="708" t="s">
        <v>819</v>
      </c>
      <c r="H379" s="709" t="s">
        <v>3000</v>
      </c>
      <c r="I379" s="710">
        <v>0</v>
      </c>
      <c r="J379" s="710">
        <v>11</v>
      </c>
      <c r="K379" s="710">
        <v>11</v>
      </c>
      <c r="L379" s="149" t="str">
        <f t="shared" si="25"/>
        <v>242A@</v>
      </c>
      <c r="M379" s="150" t="str">
        <f t="shared" si="26"/>
        <v># DE CAMIONS USAGES BMW</v>
      </c>
      <c r="N379" s="151">
        <f>+IF(OR($Q379=Parametres!$G$2,$Q379=Parametres!$G$3),I379,C379)</f>
        <v>0</v>
      </c>
      <c r="O379" s="151">
        <f>+IF(OR($Q379=Parametres!$G$2,$Q379=Parametres!$G$3),J379,D379)</f>
        <v>11</v>
      </c>
      <c r="P379" s="151">
        <f>+IF(OR($Q379=Parametres!$G$2,$Q379=Parametres!$G$3),K379,E379)</f>
        <v>11</v>
      </c>
      <c r="Q379" s="150" t="str">
        <f t="shared" si="27"/>
        <v>10-Compte compteur</v>
      </c>
      <c r="R379" s="149" t="str">
        <f t="shared" si="28"/>
        <v>242A</v>
      </c>
      <c r="S379" s="150" t="str">
        <f t="shared" si="29"/>
        <v>_</v>
      </c>
      <c r="T379" s="152" t="str">
        <f>+VLOOKUP($L379,Data_Validation!$A:$D,1,0)</f>
        <v>242A@</v>
      </c>
      <c r="U379" s="152" t="str">
        <f>+VLOOKUP($L379,Data_Validation!$A:$D,3,0)</f>
        <v>Autres</v>
      </c>
      <c r="V379" s="152">
        <f>+VLOOKUP($L379,Data_Validation!$A:$D,4,0)</f>
        <v>0</v>
      </c>
      <c r="W379" s="152">
        <f>+VLOOKUP($L379,Data_Validation!$A:$E,5,0)</f>
        <v>0</v>
      </c>
      <c r="X379" s="152">
        <f>+VLOOKUP($L379,Data_Validation!$A:$F,6,0)</f>
        <v>0</v>
      </c>
    </row>
    <row r="380" spans="1:24" ht="15" customHeight="1">
      <c r="A380" s="708" t="s">
        <v>1978</v>
      </c>
      <c r="B380" s="708" t="s">
        <v>1981</v>
      </c>
      <c r="C380" s="710"/>
      <c r="D380" s="710"/>
      <c r="E380" s="710"/>
      <c r="F380" s="708" t="s">
        <v>4</v>
      </c>
      <c r="G380" s="708" t="s">
        <v>1979</v>
      </c>
      <c r="H380" s="664" t="s">
        <v>3000</v>
      </c>
      <c r="I380" s="663">
        <v>0</v>
      </c>
      <c r="J380" s="663">
        <v>-1</v>
      </c>
      <c r="K380" s="663">
        <v>-1</v>
      </c>
      <c r="L380" s="149" t="str">
        <f t="shared" si="25"/>
        <v>412C@</v>
      </c>
      <c r="M380" s="150" t="str">
        <f t="shared" si="26"/>
        <v>M340I XDRIVE</v>
      </c>
      <c r="N380" s="151">
        <f>+IF(OR($Q380=Parametres!$G$2,$Q380=Parametres!$G$3),I380,C380)</f>
        <v>0</v>
      </c>
      <c r="O380" s="151">
        <f>+IF(OR($Q380=Parametres!$G$2,$Q380=Parametres!$G$3),J380,D380)</f>
        <v>-1</v>
      </c>
      <c r="P380" s="151">
        <f>+IF(OR($Q380=Parametres!$G$2,$Q380=Parametres!$G$3),K380,E380)</f>
        <v>-1</v>
      </c>
      <c r="Q380" s="150" t="str">
        <f t="shared" si="27"/>
        <v>10-Compte compteur</v>
      </c>
      <c r="R380" s="149" t="str">
        <f t="shared" si="28"/>
        <v>412C</v>
      </c>
      <c r="S380" s="150" t="str">
        <f t="shared" si="29"/>
        <v>_</v>
      </c>
      <c r="T380" s="152" t="str">
        <f>+VLOOKUP($L380,Data_Validation!$A:$D,1,0)</f>
        <v>412C@</v>
      </c>
      <c r="U380" s="152" t="str">
        <f>+VLOOKUP($L380,Data_Validation!$A:$D,3,0)</f>
        <v>Véhicules neufs</v>
      </c>
      <c r="V380" s="152" t="str">
        <f>+VLOOKUP($L380,Data_Validation!$A:$D,4,0)</f>
        <v>Autos détail</v>
      </c>
      <c r="W380" s="152" t="str">
        <f>+VLOOKUP($L380,Data_Validation!$A:$E,5,0)</f>
        <v>NB</v>
      </c>
      <c r="X380" s="152">
        <f>+VLOOKUP($L380,Data_Validation!$A:$F,6,0)</f>
        <v>0</v>
      </c>
    </row>
    <row r="381" spans="1:24" ht="15" customHeight="1">
      <c r="A381" s="708" t="s">
        <v>1498</v>
      </c>
      <c r="B381" s="708" t="s">
        <v>702</v>
      </c>
      <c r="C381" s="710"/>
      <c r="D381" s="710"/>
      <c r="E381" s="710"/>
      <c r="F381" s="708" t="s">
        <v>4</v>
      </c>
      <c r="G381" s="708" t="s">
        <v>410</v>
      </c>
      <c r="H381" s="657" t="s">
        <v>3000</v>
      </c>
      <c r="I381" s="656">
        <v>0</v>
      </c>
      <c r="J381" s="656">
        <v>-1</v>
      </c>
      <c r="K381" s="656">
        <v>-1</v>
      </c>
      <c r="L381" s="149" t="str">
        <f t="shared" si="25"/>
        <v>416@</v>
      </c>
      <c r="M381" s="150" t="str">
        <f t="shared" si="26"/>
        <v># DE VTE - X1 XDRIVE 28I</v>
      </c>
      <c r="N381" s="151">
        <f>+IF(OR($Q381=Parametres!$G$2,$Q381=Parametres!$G$3),I381,C381)</f>
        <v>0</v>
      </c>
      <c r="O381" s="151">
        <f>+IF(OR($Q381=Parametres!$G$2,$Q381=Parametres!$G$3),J381,D381)</f>
        <v>-1</v>
      </c>
      <c r="P381" s="151">
        <f>+IF(OR($Q381=Parametres!$G$2,$Q381=Parametres!$G$3),K381,E381)</f>
        <v>-1</v>
      </c>
      <c r="Q381" s="150" t="str">
        <f t="shared" si="27"/>
        <v>10-Compte compteur</v>
      </c>
      <c r="R381" s="149" t="str">
        <f t="shared" si="28"/>
        <v>416</v>
      </c>
      <c r="S381" s="150" t="str">
        <f t="shared" si="29"/>
        <v>_</v>
      </c>
      <c r="T381" s="152" t="str">
        <f>+VLOOKUP($L381,Data_Validation!$A:$D,1,0)</f>
        <v>416@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nb</v>
      </c>
      <c r="X381" s="152">
        <f>+VLOOKUP($L381,Data_Validation!$A:$F,6,0)</f>
        <v>0</v>
      </c>
    </row>
    <row r="382" spans="1:24" ht="15" customHeight="1">
      <c r="A382" s="708" t="s">
        <v>1502</v>
      </c>
      <c r="B382" s="708" t="s">
        <v>707</v>
      </c>
      <c r="C382" s="709"/>
      <c r="D382" s="709"/>
      <c r="E382" s="709"/>
      <c r="F382" s="708" t="s">
        <v>4</v>
      </c>
      <c r="G382" s="708" t="s">
        <v>423</v>
      </c>
      <c r="H382" s="709" t="s">
        <v>3000</v>
      </c>
      <c r="I382" s="710">
        <v>0</v>
      </c>
      <c r="J382" s="710">
        <v>-3</v>
      </c>
      <c r="K382" s="710">
        <v>-3</v>
      </c>
      <c r="L382" s="149" t="str">
        <f t="shared" si="25"/>
        <v>419@</v>
      </c>
      <c r="M382" s="150" t="str">
        <f t="shared" si="26"/>
        <v># DE VTE - FLEET VOITURE BMW</v>
      </c>
      <c r="N382" s="151">
        <f>+IF(OR($Q382=Parametres!$G$2,$Q382=Parametres!$G$3),I382,C382)</f>
        <v>0</v>
      </c>
      <c r="O382" s="151">
        <f>+IF(OR($Q382=Parametres!$G$2,$Q382=Parametres!$G$3),J382,D382)</f>
        <v>-3</v>
      </c>
      <c r="P382" s="151">
        <f>+IF(OR($Q382=Parametres!$G$2,$Q382=Parametres!$G$3),K382,E382)</f>
        <v>-3</v>
      </c>
      <c r="Q382" s="150" t="str">
        <f t="shared" si="27"/>
        <v>10-Compte compteur</v>
      </c>
      <c r="R382" s="149" t="str">
        <f t="shared" si="28"/>
        <v>419</v>
      </c>
      <c r="S382" s="150" t="str">
        <f t="shared" si="29"/>
        <v>_</v>
      </c>
      <c r="T382" s="152" t="str">
        <f>+VLOOKUP($L382,Data_Validation!$A:$D,1,0)</f>
        <v>419@</v>
      </c>
      <c r="U382" s="152" t="str">
        <f>+VLOOKUP($L382,Data_Validation!$A:$D,3,0)</f>
        <v>Véhicules neufs</v>
      </c>
      <c r="V382" s="152" t="str">
        <f>+VLOOKUP($L382,Data_Validation!$A:$D,4,0)</f>
        <v>Flottes</v>
      </c>
      <c r="W382" s="152" t="str">
        <f>+VLOOKUP($L382,Data_Validation!$A:$E,5,0)</f>
        <v>nb</v>
      </c>
      <c r="X382" s="152">
        <f>+VLOOKUP($L382,Data_Validation!$A:$F,6,0)</f>
        <v>0</v>
      </c>
    </row>
    <row r="383" spans="1:24" ht="15.75" customHeight="1">
      <c r="A383" s="708" t="s">
        <v>1503</v>
      </c>
      <c r="B383" s="708" t="s">
        <v>708</v>
      </c>
      <c r="C383" s="709"/>
      <c r="D383" s="709"/>
      <c r="E383" s="709"/>
      <c r="F383" s="708" t="s">
        <v>4</v>
      </c>
      <c r="G383" s="708" t="s">
        <v>412</v>
      </c>
      <c r="H383" s="709" t="s">
        <v>3000</v>
      </c>
      <c r="I383" s="710">
        <v>0</v>
      </c>
      <c r="J383" s="710">
        <v>-1</v>
      </c>
      <c r="K383" s="710">
        <v>-1</v>
      </c>
      <c r="L383" s="149" t="str">
        <f t="shared" si="25"/>
        <v>419A@</v>
      </c>
      <c r="M383" s="150" t="str">
        <f t="shared" si="26"/>
        <v># DE VTE - FLEET CAMION BMW</v>
      </c>
      <c r="N383" s="151">
        <f>+IF(OR($Q383=Parametres!$G$2,$Q383=Parametres!$G$3),I383,C383)</f>
        <v>0</v>
      </c>
      <c r="O383" s="151">
        <f>+IF(OR($Q383=Parametres!$G$2,$Q383=Parametres!$G$3),J383,D383)</f>
        <v>-1</v>
      </c>
      <c r="P383" s="151">
        <f>+IF(OR($Q383=Parametres!$G$2,$Q383=Parametres!$G$3),K383,E383)</f>
        <v>-1</v>
      </c>
      <c r="Q383" s="150" t="str">
        <f t="shared" si="27"/>
        <v>10-Compte compteur</v>
      </c>
      <c r="R383" s="149" t="str">
        <f t="shared" si="28"/>
        <v>419A</v>
      </c>
      <c r="S383" s="150" t="str">
        <f t="shared" si="29"/>
        <v>_</v>
      </c>
      <c r="T383" s="152" t="str">
        <f>+VLOOKUP($L383,Data_Validation!$A:$D,1,0)</f>
        <v>419A@</v>
      </c>
      <c r="U383" s="152" t="str">
        <f>+VLOOKUP($L383,Data_Validation!$A:$D,3,0)</f>
        <v>Véhicules neufs</v>
      </c>
      <c r="V383" s="152" t="str">
        <f>+VLOOKUP($L383,Data_Validation!$A:$D,4,0)</f>
        <v>Flottes</v>
      </c>
      <c r="W383" s="152" t="str">
        <f>+VLOOKUP($L383,Data_Validation!$A:$E,5,0)</f>
        <v>nb</v>
      </c>
      <c r="X383" s="152">
        <f>+VLOOKUP($L383,Data_Validation!$A:$F,6,0)</f>
        <v>0</v>
      </c>
    </row>
    <row r="384" spans="1:24" ht="15" customHeight="1">
      <c r="A384" s="708" t="s">
        <v>2553</v>
      </c>
      <c r="B384" s="708" t="s">
        <v>2554</v>
      </c>
      <c r="C384" s="710"/>
      <c r="D384" s="710"/>
      <c r="E384" s="710"/>
      <c r="F384" s="708" t="s">
        <v>4</v>
      </c>
      <c r="G384" s="708" t="s">
        <v>2550</v>
      </c>
      <c r="H384" s="600" t="s">
        <v>3000</v>
      </c>
      <c r="I384" s="153">
        <v>0</v>
      </c>
      <c r="J384" s="153">
        <v>-2</v>
      </c>
      <c r="K384" s="153">
        <v>-2</v>
      </c>
      <c r="L384" s="149" t="str">
        <f t="shared" si="25"/>
        <v>422C@</v>
      </c>
      <c r="M384" s="150" t="str">
        <f t="shared" si="26"/>
        <v># DE VTE - X6 M60i</v>
      </c>
      <c r="N384" s="151">
        <f>+IF(OR($Q384=Parametres!$G$2,$Q384=Parametres!$G$3),I384,C384)</f>
        <v>0</v>
      </c>
      <c r="O384" s="151">
        <f>+IF(OR($Q384=Parametres!$G$2,$Q384=Parametres!$G$3),J384,D384)</f>
        <v>-2</v>
      </c>
      <c r="P384" s="151">
        <f>+IF(OR($Q384=Parametres!$G$2,$Q384=Parametres!$G$3),K384,E384)</f>
        <v>-2</v>
      </c>
      <c r="Q384" s="150" t="str">
        <f t="shared" si="27"/>
        <v>10-Compte compteur</v>
      </c>
      <c r="R384" s="149" t="str">
        <f t="shared" si="28"/>
        <v>422C</v>
      </c>
      <c r="S384" s="150" t="str">
        <f t="shared" si="29"/>
        <v>_</v>
      </c>
      <c r="T384" s="152" t="str">
        <f>+VLOOKUP($L384,Data_Validation!$A:$D,1,0)</f>
        <v>422C@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NB</v>
      </c>
      <c r="X384" s="152">
        <f>+VLOOKUP($L384,Data_Validation!$A:$F,6,0)</f>
        <v>0</v>
      </c>
    </row>
    <row r="385" spans="1:24" ht="15" customHeight="1">
      <c r="A385" s="662" t="s">
        <v>2489</v>
      </c>
      <c r="B385" s="662" t="s">
        <v>2490</v>
      </c>
      <c r="C385" s="663"/>
      <c r="D385" s="663"/>
      <c r="E385" s="663"/>
      <c r="F385" s="662" t="s">
        <v>4</v>
      </c>
      <c r="G385" s="662" t="s">
        <v>2486</v>
      </c>
      <c r="H385" s="657" t="s">
        <v>3000</v>
      </c>
      <c r="I385" s="656">
        <v>0</v>
      </c>
      <c r="J385" s="656">
        <v>-1</v>
      </c>
      <c r="K385" s="656">
        <v>-1</v>
      </c>
      <c r="L385" s="149" t="str">
        <f t="shared" si="25"/>
        <v>423F@</v>
      </c>
      <c r="M385" s="150" t="str">
        <f t="shared" si="26"/>
        <v># DE VTE - X5 xDRIVE50e</v>
      </c>
      <c r="N385" s="151">
        <f>+IF(OR($Q385=Parametres!$G$2,$Q385=Parametres!$G$3),I385,C385)</f>
        <v>0</v>
      </c>
      <c r="O385" s="151">
        <f>+IF(OR($Q385=Parametres!$G$2,$Q385=Parametres!$G$3),J385,D385)</f>
        <v>-1</v>
      </c>
      <c r="P385" s="151">
        <f>+IF(OR($Q385=Parametres!$G$2,$Q385=Parametres!$G$3),K385,E385)</f>
        <v>-1</v>
      </c>
      <c r="Q385" s="150" t="str">
        <f t="shared" si="27"/>
        <v>10-Compte compteur</v>
      </c>
      <c r="R385" s="149" t="str">
        <f t="shared" si="28"/>
        <v>423F</v>
      </c>
      <c r="S385" s="150" t="str">
        <f t="shared" si="29"/>
        <v>_</v>
      </c>
      <c r="T385" s="152" t="str">
        <f>+VLOOKUP($L385,Data_Validation!$A:$D,1,0)</f>
        <v>423F@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NB</v>
      </c>
      <c r="X385" s="152">
        <f>+VLOOKUP($L385,Data_Validation!$A:$F,6,0)</f>
        <v>0</v>
      </c>
    </row>
    <row r="386" spans="1:24" ht="15" customHeight="1">
      <c r="A386" s="708" t="s">
        <v>1508</v>
      </c>
      <c r="B386" s="708" t="s">
        <v>716</v>
      </c>
      <c r="C386" s="710"/>
      <c r="D386" s="710"/>
      <c r="E386" s="710"/>
      <c r="F386" s="708" t="s">
        <v>4</v>
      </c>
      <c r="G386" s="708" t="s">
        <v>623</v>
      </c>
      <c r="H386" s="657" t="s">
        <v>3000</v>
      </c>
      <c r="I386" s="656">
        <v>0</v>
      </c>
      <c r="J386" s="656">
        <v>-1</v>
      </c>
      <c r="K386" s="656">
        <v>-1</v>
      </c>
      <c r="L386" s="149" t="str">
        <f t="shared" ref="L386:L449" si="30">+B386</f>
        <v>428@</v>
      </c>
      <c r="M386" s="150" t="str">
        <f t="shared" ref="M386:M449" si="31">+A386</f>
        <v># DE VTE - X6 M</v>
      </c>
      <c r="N386" s="151">
        <f>+IF(OR($Q386=Parametres!$G$2,$Q386=Parametres!$G$3),I386,C386)</f>
        <v>0</v>
      </c>
      <c r="O386" s="497">
        <f>+IF(OR($Q386=Parametres!$G$2,$Q386=Parametres!$G$3),J386,D386)</f>
        <v>-1</v>
      </c>
      <c r="P386" s="151">
        <f>+IF(OR($Q386=Parametres!$G$2,$Q386=Parametres!$G$3),K386,E386)</f>
        <v>-1</v>
      </c>
      <c r="Q386" s="150" t="str">
        <f t="shared" ref="Q386:Q449" si="32">+F386</f>
        <v>10-Compte compteur</v>
      </c>
      <c r="R386" s="149" t="str">
        <f t="shared" ref="R386:R449" si="33">+G386</f>
        <v>428</v>
      </c>
      <c r="S386" s="150" t="str">
        <f t="shared" ref="S386:S449" si="34">+H386</f>
        <v>_</v>
      </c>
      <c r="T386" s="152" t="str">
        <f>+VLOOKUP($L386,Data_Validation!$A:$D,1,0)</f>
        <v>428@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nb</v>
      </c>
      <c r="X386" s="152">
        <f>+VLOOKUP($L386,Data_Validation!$A:$F,6,0)</f>
        <v>0</v>
      </c>
    </row>
    <row r="387" spans="1:24" ht="15.75" customHeight="1">
      <c r="A387" s="708" t="s">
        <v>1040</v>
      </c>
      <c r="B387" s="708" t="s">
        <v>718</v>
      </c>
      <c r="C387" s="710"/>
      <c r="D387" s="710"/>
      <c r="E387" s="710"/>
      <c r="F387" s="708" t="s">
        <v>4</v>
      </c>
      <c r="G387" s="708" t="s">
        <v>407</v>
      </c>
      <c r="H387" s="664" t="s">
        <v>3000</v>
      </c>
      <c r="I387" s="663">
        <v>0</v>
      </c>
      <c r="J387" s="663">
        <v>-1</v>
      </c>
      <c r="K387" s="663">
        <v>-1</v>
      </c>
      <c r="L387" s="149" t="str">
        <f t="shared" si="30"/>
        <v>429C@</v>
      </c>
      <c r="M387" s="150" t="str">
        <f t="shared" si="31"/>
        <v># DE VTE - X4 M40I XDRIVE</v>
      </c>
      <c r="N387" s="151">
        <f>+IF(OR($Q387=Parametres!$G$2,$Q387=Parametres!$G$3),I387,C387)</f>
        <v>0</v>
      </c>
      <c r="O387" s="151">
        <f>+IF(OR($Q387=Parametres!$G$2,$Q387=Parametres!$G$3),J387,D387)</f>
        <v>-1</v>
      </c>
      <c r="P387" s="151">
        <f>+IF(OR($Q387=Parametres!$G$2,$Q387=Parametres!$G$3),K387,E387)</f>
        <v>-1</v>
      </c>
      <c r="Q387" s="150" t="str">
        <f t="shared" si="32"/>
        <v>10-Compte compteur</v>
      </c>
      <c r="R387" s="149" t="str">
        <f t="shared" si="33"/>
        <v>429C</v>
      </c>
      <c r="S387" s="150" t="str">
        <f t="shared" si="34"/>
        <v>_</v>
      </c>
      <c r="T387" s="152" t="str">
        <f>+VLOOKUP($L387,Data_Validation!$A:$D,1,0)</f>
        <v>429C@</v>
      </c>
      <c r="U387" s="152" t="str">
        <f>+VLOOKUP($L387,Data_Validation!$A:$D,3,0)</f>
        <v>Véhicules neufs</v>
      </c>
      <c r="V387" s="152" t="str">
        <f>+VLOOKUP($L387,Data_Validation!$A:$D,4,0)</f>
        <v>Camions détail</v>
      </c>
      <c r="W387" s="152" t="str">
        <f>+VLOOKUP($L387,Data_Validation!$A:$E,5,0)</f>
        <v>nb</v>
      </c>
      <c r="X387" s="152">
        <f>+VLOOKUP($L387,Data_Validation!$A:$F,6,0)</f>
        <v>0</v>
      </c>
    </row>
    <row r="388" spans="1:24" ht="15" customHeight="1">
      <c r="A388" s="708" t="s">
        <v>1879</v>
      </c>
      <c r="B388" s="708" t="s">
        <v>719</v>
      </c>
      <c r="C388" s="710"/>
      <c r="D388" s="710"/>
      <c r="E388" s="710"/>
      <c r="F388" s="708" t="s">
        <v>4</v>
      </c>
      <c r="G388" s="708" t="s">
        <v>625</v>
      </c>
      <c r="H388" s="664" t="s">
        <v>3000</v>
      </c>
      <c r="I388" s="663">
        <v>0</v>
      </c>
      <c r="J388" s="663">
        <v>-1</v>
      </c>
      <c r="K388" s="663">
        <v>-1</v>
      </c>
      <c r="L388" s="149" t="str">
        <f t="shared" si="30"/>
        <v>430@</v>
      </c>
      <c r="M388" s="150" t="str">
        <f t="shared" si="31"/>
        <v># DE VTE - M5 SEDAN</v>
      </c>
      <c r="N388" s="151">
        <f>+IF(OR($Q388=Parametres!$G$2,$Q388=Parametres!$G$3),I388,C388)</f>
        <v>0</v>
      </c>
      <c r="O388" s="151">
        <f>+IF(OR($Q388=Parametres!$G$2,$Q388=Parametres!$G$3),J388,D388)</f>
        <v>-1</v>
      </c>
      <c r="P388" s="151">
        <f>+IF(OR($Q388=Parametres!$G$2,$Q388=Parametres!$G$3),K388,E388)</f>
        <v>-1</v>
      </c>
      <c r="Q388" s="150" t="str">
        <f t="shared" si="32"/>
        <v>10-Compte compteur</v>
      </c>
      <c r="R388" s="149" t="str">
        <f t="shared" si="33"/>
        <v>430</v>
      </c>
      <c r="S388" s="150" t="str">
        <f t="shared" si="34"/>
        <v>_</v>
      </c>
      <c r="T388" s="152" t="str">
        <f>+VLOOKUP($L388,Data_Validation!$A:$D,1,0)</f>
        <v>430@</v>
      </c>
      <c r="U388" s="152" t="str">
        <f>+VLOOKUP($L388,Data_Validation!$A:$D,3,0)</f>
        <v>Véhicules neufs</v>
      </c>
      <c r="V388" s="152" t="str">
        <f>+VLOOKUP($L388,Data_Validation!$A:$D,4,0)</f>
        <v>Autos détail</v>
      </c>
      <c r="W388" s="152" t="str">
        <f>+VLOOKUP($L388,Data_Validation!$A:$E,5,0)</f>
        <v>nb</v>
      </c>
      <c r="X388" s="152">
        <f>+VLOOKUP($L388,Data_Validation!$A:$F,6,0)</f>
        <v>0</v>
      </c>
    </row>
    <row r="389" spans="1:24" ht="15" customHeight="1">
      <c r="A389" s="708" t="s">
        <v>1510</v>
      </c>
      <c r="B389" s="708" t="s">
        <v>1041</v>
      </c>
      <c r="C389" s="710"/>
      <c r="D389" s="710"/>
      <c r="E389" s="710"/>
      <c r="F389" s="708" t="s">
        <v>4</v>
      </c>
      <c r="G389" s="708" t="s">
        <v>625</v>
      </c>
      <c r="H389" s="664" t="s">
        <v>3000</v>
      </c>
      <c r="I389" s="664">
        <v>0</v>
      </c>
      <c r="J389" s="664">
        <v>-7</v>
      </c>
      <c r="K389" s="664">
        <v>-7</v>
      </c>
      <c r="L389" s="149" t="str">
        <f t="shared" si="30"/>
        <v>430A@</v>
      </c>
      <c r="M389" s="150" t="str">
        <f t="shared" si="31"/>
        <v># DE VTE - MARQUAGE OTOPROTEC NEUF BMW AUTO</v>
      </c>
      <c r="N389" s="151">
        <f>+IF(OR($Q389=Parametres!$G$2,$Q389=Parametres!$G$3),I389,C389)</f>
        <v>0</v>
      </c>
      <c r="O389" s="151">
        <f>+IF(OR($Q389=Parametres!$G$2,$Q389=Parametres!$G$3),J389,D389)</f>
        <v>-7</v>
      </c>
      <c r="P389" s="151">
        <f>+IF(OR($Q389=Parametres!$G$2,$Q389=Parametres!$G$3),K389,E389)</f>
        <v>-7</v>
      </c>
      <c r="Q389" s="150" t="str">
        <f t="shared" si="32"/>
        <v>10-Compte compteur</v>
      </c>
      <c r="R389" s="149" t="str">
        <f t="shared" si="33"/>
        <v>430</v>
      </c>
      <c r="S389" s="150" t="str">
        <f t="shared" si="34"/>
        <v>_</v>
      </c>
      <c r="T389" s="152" t="str">
        <f>+VLOOKUP($L389,Data_Validation!$A:$D,1,0)</f>
        <v>430A@</v>
      </c>
      <c r="U389" s="152" t="str">
        <f>+VLOOKUP($L389,Data_Validation!$A:$D,3,0)</f>
        <v>Véhicules neufs</v>
      </c>
      <c r="V389" s="152" t="str">
        <f>+VLOOKUP($L389,Data_Validation!$A:$D,4,0)</f>
        <v>Rev. Autres</v>
      </c>
      <c r="W389" s="152" t="str">
        <f>+VLOOKUP($L389,Data_Validation!$A:$E,5,0)</f>
        <v>nb</v>
      </c>
      <c r="X389" s="152">
        <f>+VLOOKUP($L389,Data_Validation!$A:$F,6,0)</f>
        <v>0</v>
      </c>
    </row>
    <row r="390" spans="1:24" ht="15" customHeight="1">
      <c r="A390" s="708" t="s">
        <v>1511</v>
      </c>
      <c r="B390" s="708" t="s">
        <v>1042</v>
      </c>
      <c r="C390" s="710"/>
      <c r="D390" s="710"/>
      <c r="E390" s="710"/>
      <c r="F390" s="708" t="s">
        <v>4</v>
      </c>
      <c r="G390" s="708" t="s">
        <v>625</v>
      </c>
      <c r="H390" s="664" t="s">
        <v>3000</v>
      </c>
      <c r="I390" s="663">
        <v>0</v>
      </c>
      <c r="J390" s="663">
        <v>-7</v>
      </c>
      <c r="K390" s="663">
        <v>-7</v>
      </c>
      <c r="L390" s="149" t="str">
        <f t="shared" si="30"/>
        <v>430C@</v>
      </c>
      <c r="M390" s="150" t="str">
        <f t="shared" si="31"/>
        <v># DE VTE - ACCESSOIRES NEUFS BMW AUTO</v>
      </c>
      <c r="N390" s="151">
        <f>+IF(OR($Q390=Parametres!$G$2,$Q390=Parametres!$G$3),I390,C390)</f>
        <v>0</v>
      </c>
      <c r="O390" s="151">
        <f>+IF(OR($Q390=Parametres!$G$2,$Q390=Parametres!$G$3),J390,D390)</f>
        <v>-7</v>
      </c>
      <c r="P390" s="151">
        <f>+IF(OR($Q390=Parametres!$G$2,$Q390=Parametres!$G$3),K390,E390)</f>
        <v>-7</v>
      </c>
      <c r="Q390" s="150" t="str">
        <f t="shared" si="32"/>
        <v>10-Compte compteur</v>
      </c>
      <c r="R390" s="149" t="str">
        <f t="shared" si="33"/>
        <v>430</v>
      </c>
      <c r="S390" s="150" t="str">
        <f t="shared" si="34"/>
        <v>_</v>
      </c>
      <c r="T390" s="152" t="str">
        <f>+VLOOKUP($L390,Data_Validation!$A:$D,1,0)</f>
        <v>430C@</v>
      </c>
      <c r="U390" s="152" t="str">
        <f>+VLOOKUP($L390,Data_Validation!$A:$D,3,0)</f>
        <v>Véhicules neufs</v>
      </c>
      <c r="V390" s="152" t="str">
        <f>+VLOOKUP($L390,Data_Validation!$A:$D,4,0)</f>
        <v>Rev. Autres</v>
      </c>
      <c r="W390" s="152" t="str">
        <f>+VLOOKUP($L390,Data_Validation!$A:$E,5,0)</f>
        <v>nb</v>
      </c>
      <c r="X390" s="152">
        <f>+VLOOKUP($L390,Data_Validation!$A:$F,6,0)</f>
        <v>0</v>
      </c>
    </row>
    <row r="391" spans="1:24" ht="15.75" customHeight="1">
      <c r="A391" s="708" t="s">
        <v>1512</v>
      </c>
      <c r="B391" s="708" t="s">
        <v>1513</v>
      </c>
      <c r="C391" s="710"/>
      <c r="D391" s="710"/>
      <c r="E391" s="710"/>
      <c r="F391" s="708" t="s">
        <v>4</v>
      </c>
      <c r="G391" s="708" t="s">
        <v>625</v>
      </c>
      <c r="H391" s="664" t="s">
        <v>3000</v>
      </c>
      <c r="I391" s="663">
        <v>0</v>
      </c>
      <c r="J391" s="663">
        <v>-7</v>
      </c>
      <c r="K391" s="663">
        <v>-7</v>
      </c>
      <c r="L391" s="149" t="str">
        <f t="shared" si="30"/>
        <v>430E@</v>
      </c>
      <c r="M391" s="150" t="str">
        <f t="shared" si="31"/>
        <v># DE SLS - PROTEC ESTHETIQUE NEUF BMW AUTO</v>
      </c>
      <c r="N391" s="151">
        <f>+IF(OR($Q391=Parametres!$G$2,$Q391=Parametres!$G$3),I391,C391)</f>
        <v>0</v>
      </c>
      <c r="O391" s="151">
        <f>+IF(OR($Q391=Parametres!$G$2,$Q391=Parametres!$G$3),J391,D391)</f>
        <v>-7</v>
      </c>
      <c r="P391" s="151">
        <f>+IF(OR($Q391=Parametres!$G$2,$Q391=Parametres!$G$3),K391,E391)</f>
        <v>-7</v>
      </c>
      <c r="Q391" s="150" t="str">
        <f t="shared" si="32"/>
        <v>10-Compte compteur</v>
      </c>
      <c r="R391" s="149" t="str">
        <f t="shared" si="33"/>
        <v>430</v>
      </c>
      <c r="S391" s="150" t="str">
        <f t="shared" si="34"/>
        <v>_</v>
      </c>
      <c r="T391" s="152" t="str">
        <f>+VLOOKUP($L391,Data_Validation!$A:$D,1,0)</f>
        <v>430E@</v>
      </c>
      <c r="U391" s="152" t="str">
        <f>+VLOOKUP($L391,Data_Validation!$A:$D,3,0)</f>
        <v>Véhicules neufs</v>
      </c>
      <c r="V391" s="152" t="str">
        <f>+VLOOKUP($L391,Data_Validation!$A:$D,4,0)</f>
        <v>Rev. Protections</v>
      </c>
      <c r="W391" s="152" t="str">
        <f>+VLOOKUP($L391,Data_Validation!$A:$E,5,0)</f>
        <v>nb</v>
      </c>
      <c r="X391" s="152">
        <f>+VLOOKUP($L391,Data_Validation!$A:$F,6,0)</f>
        <v>0</v>
      </c>
    </row>
    <row r="392" spans="1:24" ht="15" customHeight="1">
      <c r="A392" s="708" t="s">
        <v>1517</v>
      </c>
      <c r="B392" s="708" t="s">
        <v>1518</v>
      </c>
      <c r="C392" s="710"/>
      <c r="D392" s="710"/>
      <c r="E392" s="710"/>
      <c r="F392" s="708" t="s">
        <v>4</v>
      </c>
      <c r="G392" s="708" t="s">
        <v>625</v>
      </c>
      <c r="H392" s="664" t="s">
        <v>3000</v>
      </c>
      <c r="I392" s="663">
        <v>0</v>
      </c>
      <c r="J392" s="663">
        <v>-1</v>
      </c>
      <c r="K392" s="663">
        <v>-1</v>
      </c>
      <c r="L392" s="149" t="str">
        <f t="shared" si="30"/>
        <v>430T@</v>
      </c>
      <c r="M392" s="150" t="str">
        <f t="shared" si="31"/>
        <v># DE SLS - TRAITEMENT OTOPROTEC NEUF BMW AUTO</v>
      </c>
      <c r="N392" s="151">
        <f>+IF(OR($Q392=Parametres!$G$2,$Q392=Parametres!$G$3),I392,C392)</f>
        <v>0</v>
      </c>
      <c r="O392" s="151">
        <f>+IF(OR($Q392=Parametres!$G$2,$Q392=Parametres!$G$3),J392,D392)</f>
        <v>-1</v>
      </c>
      <c r="P392" s="151">
        <f>+IF(OR($Q392=Parametres!$G$2,$Q392=Parametres!$G$3),K392,E392)</f>
        <v>-1</v>
      </c>
      <c r="Q392" s="150" t="str">
        <f t="shared" si="32"/>
        <v>10-Compte compteur</v>
      </c>
      <c r="R392" s="149" t="str">
        <f t="shared" si="33"/>
        <v>430</v>
      </c>
      <c r="S392" s="150" t="str">
        <f t="shared" si="34"/>
        <v>_</v>
      </c>
      <c r="T392" s="152" t="str">
        <f>+VLOOKUP($L392,Data_Validation!$A:$D,1,0)</f>
        <v>430T@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nb</v>
      </c>
      <c r="X392" s="152">
        <f>+VLOOKUP($L392,Data_Validation!$A:$F,6,0)</f>
        <v>0</v>
      </c>
    </row>
    <row r="393" spans="1:24" ht="15" customHeight="1">
      <c r="A393" s="708" t="s">
        <v>1519</v>
      </c>
      <c r="B393" s="708" t="s">
        <v>1520</v>
      </c>
      <c r="C393" s="710"/>
      <c r="D393" s="710"/>
      <c r="E393" s="710"/>
      <c r="F393" s="708" t="s">
        <v>4</v>
      </c>
      <c r="G393" s="708" t="s">
        <v>625</v>
      </c>
      <c r="H393" s="664" t="s">
        <v>3000</v>
      </c>
      <c r="I393" s="664">
        <v>0</v>
      </c>
      <c r="J393" s="664">
        <v>-3</v>
      </c>
      <c r="K393" s="664">
        <v>-3</v>
      </c>
      <c r="L393" s="149" t="str">
        <f t="shared" si="30"/>
        <v>430U@</v>
      </c>
      <c r="M393" s="150" t="str">
        <f t="shared" si="31"/>
        <v># DE VTE - ASSIS USU NEUF BMW AUTO</v>
      </c>
      <c r="N393" s="151">
        <f>+IF(OR($Q393=Parametres!$G$2,$Q393=Parametres!$G$3),I393,C393)</f>
        <v>0</v>
      </c>
      <c r="O393" s="151">
        <f>+IF(OR($Q393=Parametres!$G$2,$Q393=Parametres!$G$3),J393,D393)</f>
        <v>-3</v>
      </c>
      <c r="P393" s="151">
        <f>+IF(OR($Q393=Parametres!$G$2,$Q393=Parametres!$G$3),K393,E393)</f>
        <v>-3</v>
      </c>
      <c r="Q393" s="150" t="str">
        <f t="shared" si="32"/>
        <v>10-Compte compteur</v>
      </c>
      <c r="R393" s="149" t="str">
        <f t="shared" si="33"/>
        <v>430</v>
      </c>
      <c r="S393" s="150" t="str">
        <f t="shared" si="34"/>
        <v>_</v>
      </c>
      <c r="T393" s="152" t="str">
        <f>+VLOOKUP($L393,Data_Validation!$A:$D,1,0)</f>
        <v>430U@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nb</v>
      </c>
      <c r="X393" s="152">
        <f>+VLOOKUP($L393,Data_Validation!$A:$F,6,0)</f>
        <v>0</v>
      </c>
    </row>
    <row r="394" spans="1:24" ht="15" customHeight="1">
      <c r="A394" s="708" t="s">
        <v>2108</v>
      </c>
      <c r="B394" s="708" t="s">
        <v>2107</v>
      </c>
      <c r="C394" s="710"/>
      <c r="D394" s="710"/>
      <c r="E394" s="710"/>
      <c r="F394" s="708" t="s">
        <v>4</v>
      </c>
      <c r="G394" s="708" t="s">
        <v>2359</v>
      </c>
      <c r="H394" s="664" t="s">
        <v>3000</v>
      </c>
      <c r="I394" s="663">
        <v>0</v>
      </c>
      <c r="J394" s="663">
        <v>-2</v>
      </c>
      <c r="K394" s="663">
        <v>-2</v>
      </c>
      <c r="L394" s="149" t="str">
        <f t="shared" si="30"/>
        <v>434A@</v>
      </c>
      <c r="M394" s="150" t="str">
        <f t="shared" si="31"/>
        <v># DE VTE - CONT ENTR NEUF BMW AUTO</v>
      </c>
      <c r="N394" s="151">
        <f>+IF(OR($Q394=Parametres!$G$2,$Q394=Parametres!$G$3),I394,C394)</f>
        <v>0</v>
      </c>
      <c r="O394" s="151">
        <f>+IF(OR($Q394=Parametres!$G$2,$Q394=Parametres!$G$3),J394,D394)</f>
        <v>-2</v>
      </c>
      <c r="P394" s="151">
        <f>+IF(OR($Q394=Parametres!$G$2,$Q394=Parametres!$G$3),K394,E394)</f>
        <v>-2</v>
      </c>
      <c r="Q394" s="150" t="str">
        <f t="shared" si="32"/>
        <v>10-Compte compteur</v>
      </c>
      <c r="R394" s="149" t="str">
        <f t="shared" si="33"/>
        <v>434</v>
      </c>
      <c r="S394" s="150" t="str">
        <f t="shared" si="34"/>
        <v>_</v>
      </c>
      <c r="T394" s="152" t="str">
        <f>+VLOOKUP($L394,Data_Validation!$A:$D,1,0)</f>
        <v>434A@</v>
      </c>
      <c r="U394" s="152" t="str">
        <f>+VLOOKUP($L394,Data_Validation!$A:$D,3,0)</f>
        <v>Véhicules neufs</v>
      </c>
      <c r="V394" s="152" t="str">
        <f>+VLOOKUP($L394,Data_Validation!$A:$D,4,0)</f>
        <v>Rev. Protections</v>
      </c>
      <c r="W394" s="152" t="str">
        <f>+VLOOKUP($L394,Data_Validation!$A:$E,5,0)</f>
        <v>nb</v>
      </c>
      <c r="X394" s="152">
        <f>+VLOOKUP($L394,Data_Validation!$A:$F,6,0)</f>
        <v>0</v>
      </c>
    </row>
    <row r="395" spans="1:24" ht="15.75" customHeight="1">
      <c r="A395" s="662" t="s">
        <v>1530</v>
      </c>
      <c r="B395" s="662" t="s">
        <v>725</v>
      </c>
      <c r="C395" s="663"/>
      <c r="D395" s="663"/>
      <c r="E395" s="663"/>
      <c r="F395" s="662" t="s">
        <v>4</v>
      </c>
      <c r="G395" s="662" t="s">
        <v>398</v>
      </c>
      <c r="H395" s="657" t="s">
        <v>3000</v>
      </c>
      <c r="I395" s="656">
        <v>0</v>
      </c>
      <c r="J395" s="656">
        <v>-1</v>
      </c>
      <c r="K395" s="656">
        <v>-1</v>
      </c>
      <c r="L395" s="149" t="str">
        <f t="shared" si="30"/>
        <v>444B@</v>
      </c>
      <c r="M395" s="150" t="str">
        <f t="shared" si="31"/>
        <v># DE VTE - GROS BMW CAMION</v>
      </c>
      <c r="N395" s="151">
        <f>+IF(OR($Q395=Parametres!$G$2,$Q395=Parametres!$G$3),I395,C395)</f>
        <v>0</v>
      </c>
      <c r="O395" s="151">
        <f>+IF(OR($Q395=Parametres!$G$2,$Q395=Parametres!$G$3),J395,D395)</f>
        <v>-1</v>
      </c>
      <c r="P395" s="151">
        <f>+IF(OR($Q395=Parametres!$G$2,$Q395=Parametres!$G$3),K395,E395)</f>
        <v>-1</v>
      </c>
      <c r="Q395" s="150" t="str">
        <f t="shared" si="32"/>
        <v>10-Compte compteur</v>
      </c>
      <c r="R395" s="149" t="str">
        <f t="shared" si="33"/>
        <v>444B</v>
      </c>
      <c r="S395" s="150" t="str">
        <f t="shared" si="34"/>
        <v>_</v>
      </c>
      <c r="T395" s="152" t="str">
        <f>+VLOOKUP($L395,Data_Validation!$A:$D,1,0)</f>
        <v>444B@</v>
      </c>
      <c r="U395" s="152" t="str">
        <f>+VLOOKUP($L395,Data_Validation!$A:$D,3,0)</f>
        <v>Véhicules usagés</v>
      </c>
      <c r="V395" s="152" t="str">
        <f>+VLOOKUP($L395,Data_Validation!$A:$D,4,0)</f>
        <v>Ventes au Gros</v>
      </c>
      <c r="W395" s="152" t="str">
        <f>+VLOOKUP($L395,Data_Validation!$A:$E,5,0)</f>
        <v>nb</v>
      </c>
      <c r="X395" s="152">
        <f>+VLOOKUP($L395,Data_Validation!$A:$F,6,0)</f>
        <v>0</v>
      </c>
    </row>
    <row r="396" spans="1:24" ht="15" customHeight="1">
      <c r="A396" s="708" t="s">
        <v>1531</v>
      </c>
      <c r="B396" s="708" t="s">
        <v>726</v>
      </c>
      <c r="C396" s="709"/>
      <c r="D396" s="709"/>
      <c r="E396" s="709"/>
      <c r="F396" s="708" t="s">
        <v>4</v>
      </c>
      <c r="G396" s="708" t="s">
        <v>401</v>
      </c>
      <c r="H396" s="709" t="s">
        <v>3000</v>
      </c>
      <c r="I396" s="710">
        <v>0</v>
      </c>
      <c r="J396" s="710">
        <v>-1</v>
      </c>
      <c r="K396" s="710">
        <v>-1</v>
      </c>
      <c r="L396" s="149" t="str">
        <f t="shared" si="30"/>
        <v>444C@</v>
      </c>
      <c r="M396" s="150" t="str">
        <f t="shared" si="31"/>
        <v># DE VTE - GROS AUTRE</v>
      </c>
      <c r="N396" s="151">
        <f>+IF(OR($Q396=Parametres!$G$2,$Q396=Parametres!$G$3),I396,C396)</f>
        <v>0</v>
      </c>
      <c r="O396" s="151">
        <f>+IF(OR($Q396=Parametres!$G$2,$Q396=Parametres!$G$3),J396,D396)</f>
        <v>-1</v>
      </c>
      <c r="P396" s="151">
        <f>+IF(OR($Q396=Parametres!$G$2,$Q396=Parametres!$G$3),K396,E396)</f>
        <v>-1</v>
      </c>
      <c r="Q396" s="150" t="str">
        <f t="shared" si="32"/>
        <v>10-Compte compteur</v>
      </c>
      <c r="R396" s="149" t="str">
        <f t="shared" si="33"/>
        <v>444C</v>
      </c>
      <c r="S396" s="150" t="str">
        <f t="shared" si="34"/>
        <v>_</v>
      </c>
      <c r="T396" s="152" t="str">
        <f>+VLOOKUP($L396,Data_Validation!$A:$D,1,0)</f>
        <v>444C@</v>
      </c>
      <c r="U396" s="152" t="str">
        <f>+VLOOKUP($L396,Data_Validation!$A:$D,3,0)</f>
        <v>Véhicules usagés</v>
      </c>
      <c r="V396" s="152" t="str">
        <f>+VLOOKUP($L396,Data_Validation!$A:$D,4,0)</f>
        <v>Ventes au Gros</v>
      </c>
      <c r="W396" s="152" t="str">
        <f>+VLOOKUP($L396,Data_Validation!$A:$E,5,0)</f>
        <v>nb</v>
      </c>
      <c r="X396" s="152">
        <f>+VLOOKUP($L396,Data_Validation!$A:$F,6,0)</f>
        <v>0</v>
      </c>
    </row>
    <row r="397" spans="1:24" ht="15" customHeight="1">
      <c r="A397" s="662" t="s">
        <v>1532</v>
      </c>
      <c r="B397" s="662" t="s">
        <v>727</v>
      </c>
      <c r="C397" s="663"/>
      <c r="D397" s="663"/>
      <c r="E397" s="663"/>
      <c r="F397" s="662" t="s">
        <v>4</v>
      </c>
      <c r="G397" s="662" t="s">
        <v>418</v>
      </c>
      <c r="H397" s="657" t="s">
        <v>3000</v>
      </c>
      <c r="I397" s="656">
        <v>0</v>
      </c>
      <c r="J397" s="656">
        <v>-3</v>
      </c>
      <c r="K397" s="656">
        <v>-3</v>
      </c>
      <c r="L397" s="149" t="str">
        <f t="shared" si="30"/>
        <v>446A@</v>
      </c>
      <c r="M397" s="150" t="str">
        <f t="shared" si="31"/>
        <v># DE VTE - USAGE BMW CAMION CERT</v>
      </c>
      <c r="N397" s="151">
        <f>+IF(OR($Q397=Parametres!$G$2,$Q397=Parametres!$G$3),I397,C397)</f>
        <v>0</v>
      </c>
      <c r="O397" s="151">
        <f>+IF(OR($Q397=Parametres!$G$2,$Q397=Parametres!$G$3),J397,D397)</f>
        <v>-3</v>
      </c>
      <c r="P397" s="151">
        <f>+IF(OR($Q397=Parametres!$G$2,$Q397=Parametres!$G$3),K397,E397)</f>
        <v>-3</v>
      </c>
      <c r="Q397" s="150" t="str">
        <f t="shared" si="32"/>
        <v>10-Compte compteur</v>
      </c>
      <c r="R397" s="149" t="str">
        <f t="shared" si="33"/>
        <v>446A</v>
      </c>
      <c r="S397" s="150" t="str">
        <f t="shared" si="34"/>
        <v>_</v>
      </c>
      <c r="T397" s="152" t="str">
        <f>+VLOOKUP($L397,Data_Validation!$A:$D,1,0)</f>
        <v>446A@</v>
      </c>
      <c r="U397" s="152" t="str">
        <f>+VLOOKUP($L397,Data_Validation!$A:$D,3,0)</f>
        <v>Véhicules usagés</v>
      </c>
      <c r="V397" s="152" t="str">
        <f>+VLOOKUP($L397,Data_Validation!$A:$D,4,0)</f>
        <v>Certifié</v>
      </c>
      <c r="W397" s="152" t="str">
        <f>+VLOOKUP($L397,Data_Validation!$A:$E,5,0)</f>
        <v>nb</v>
      </c>
      <c r="X397" s="152">
        <f>+VLOOKUP($L397,Data_Validation!$A:$F,6,0)</f>
        <v>0</v>
      </c>
    </row>
    <row r="398" spans="1:24" ht="15" customHeight="1">
      <c r="A398" s="708" t="s">
        <v>1533</v>
      </c>
      <c r="B398" s="708" t="s">
        <v>728</v>
      </c>
      <c r="C398" s="710"/>
      <c r="D398" s="710"/>
      <c r="E398" s="710"/>
      <c r="F398" s="708" t="s">
        <v>4</v>
      </c>
      <c r="G398" s="708" t="s">
        <v>404</v>
      </c>
      <c r="H398" s="664" t="s">
        <v>3000</v>
      </c>
      <c r="I398" s="663">
        <v>0</v>
      </c>
      <c r="J398" s="663">
        <v>-2</v>
      </c>
      <c r="K398" s="663">
        <v>-2</v>
      </c>
      <c r="L398" s="149" t="str">
        <f t="shared" si="30"/>
        <v>446B@</v>
      </c>
      <c r="M398" s="150" t="str">
        <f t="shared" si="31"/>
        <v># DE VTE - USAGE BMW CAMION NON-CERT</v>
      </c>
      <c r="N398" s="151">
        <f>+IF(OR($Q398=Parametres!$G$2,$Q398=Parametres!$G$3),I398,C398)</f>
        <v>0</v>
      </c>
      <c r="O398" s="151">
        <f>+IF(OR($Q398=Parametres!$G$2,$Q398=Parametres!$G$3),J398,D398)</f>
        <v>-2</v>
      </c>
      <c r="P398" s="151">
        <f>+IF(OR($Q398=Parametres!$G$2,$Q398=Parametres!$G$3),K398,E398)</f>
        <v>-2</v>
      </c>
      <c r="Q398" s="150" t="str">
        <f t="shared" si="32"/>
        <v>10-Compte compteur</v>
      </c>
      <c r="R398" s="149" t="str">
        <f t="shared" si="33"/>
        <v>446B</v>
      </c>
      <c r="S398" s="150" t="str">
        <f t="shared" si="34"/>
        <v>_</v>
      </c>
      <c r="T398" s="152" t="str">
        <f>+VLOOKUP($L398,Data_Validation!$A:$D,1,0)</f>
        <v>446B@</v>
      </c>
      <c r="U398" s="152" t="str">
        <f>+VLOOKUP($L398,Data_Validation!$A:$D,3,0)</f>
        <v>Véhicules usagés</v>
      </c>
      <c r="V398" s="152" t="str">
        <f>+VLOOKUP($L398,Data_Validation!$A:$D,4,0)</f>
        <v>Non Certifié</v>
      </c>
      <c r="W398" s="152" t="str">
        <f>+VLOOKUP($L398,Data_Validation!$A:$E,5,0)</f>
        <v>nb</v>
      </c>
      <c r="X398" s="152">
        <f>+VLOOKUP($L398,Data_Validation!$A:$F,6,0)</f>
        <v>0</v>
      </c>
    </row>
    <row r="399" spans="1:24" ht="15.75" customHeight="1">
      <c r="A399" s="708" t="s">
        <v>1535</v>
      </c>
      <c r="B399" s="708" t="s">
        <v>730</v>
      </c>
      <c r="C399" s="710"/>
      <c r="D399" s="710"/>
      <c r="E399" s="710"/>
      <c r="F399" s="708" t="s">
        <v>4</v>
      </c>
      <c r="G399" s="708" t="s">
        <v>400</v>
      </c>
      <c r="H399" s="664" t="s">
        <v>3000</v>
      </c>
      <c r="I399" s="663">
        <v>0</v>
      </c>
      <c r="J399" s="663">
        <v>-1</v>
      </c>
      <c r="K399" s="663">
        <v>-1</v>
      </c>
      <c r="L399" s="149" t="str">
        <f t="shared" si="30"/>
        <v>448@</v>
      </c>
      <c r="M399" s="150" t="str">
        <f t="shared" si="31"/>
        <v># DE VTE - RACHAT LOCATION BMW</v>
      </c>
      <c r="N399" s="151">
        <f>+IF(OR($Q399=Parametres!$G$2,$Q399=Parametres!$G$3),I399,C399)</f>
        <v>0</v>
      </c>
      <c r="O399" s="151">
        <f>+IF(OR($Q399=Parametres!$G$2,$Q399=Parametres!$G$3),J399,D399)</f>
        <v>-1</v>
      </c>
      <c r="P399" s="151">
        <f>+IF(OR($Q399=Parametres!$G$2,$Q399=Parametres!$G$3),K399,E399)</f>
        <v>-1</v>
      </c>
      <c r="Q399" s="150" t="str">
        <f t="shared" si="32"/>
        <v>10-Compte compteur</v>
      </c>
      <c r="R399" s="149" t="str">
        <f t="shared" si="33"/>
        <v>448</v>
      </c>
      <c r="S399" s="150" t="str">
        <f t="shared" si="34"/>
        <v>_</v>
      </c>
      <c r="T399" s="152" t="str">
        <f>+VLOOKUP($L399,Data_Validation!$A:$D,1,0)</f>
        <v>448@</v>
      </c>
      <c r="U399" s="152" t="str">
        <f>+VLOOKUP($L399,Data_Validation!$A:$D,3,0)</f>
        <v>Véhicules neufs</v>
      </c>
      <c r="V399" s="152" t="str">
        <f>+VLOOKUP($L399,Data_Validation!$A:$D,4,0)</f>
        <v>Rachat bail</v>
      </c>
      <c r="W399" s="152" t="str">
        <f>+VLOOKUP($L399,Data_Validation!$A:$E,5,0)</f>
        <v>nb</v>
      </c>
      <c r="X399" s="152">
        <f>+VLOOKUP($L399,Data_Validation!$A:$F,6,0)</f>
        <v>0</v>
      </c>
    </row>
    <row r="400" spans="1:24" ht="15" customHeight="1">
      <c r="A400" s="708" t="s">
        <v>1536</v>
      </c>
      <c r="B400" s="708" t="s">
        <v>1044</v>
      </c>
      <c r="C400" s="710"/>
      <c r="D400" s="710"/>
      <c r="E400" s="710"/>
      <c r="F400" s="708" t="s">
        <v>4</v>
      </c>
      <c r="G400" s="708" t="s">
        <v>1012</v>
      </c>
      <c r="H400" s="664" t="s">
        <v>3000</v>
      </c>
      <c r="I400" s="663">
        <v>0</v>
      </c>
      <c r="J400" s="663">
        <v>-3</v>
      </c>
      <c r="K400" s="663">
        <v>-3</v>
      </c>
      <c r="L400" s="149" t="str">
        <f t="shared" si="30"/>
        <v>450@</v>
      </c>
      <c r="M400" s="150" t="str">
        <f t="shared" si="31"/>
        <v># DE VTE - MARQUAGE OTOPROTEC USAGE BMW AUTO</v>
      </c>
      <c r="N400" s="151">
        <f>+IF(OR($Q400=Parametres!$G$2,$Q400=Parametres!$G$3),I400,C400)</f>
        <v>0</v>
      </c>
      <c r="O400" s="151">
        <f>+IF(OR($Q400=Parametres!$G$2,$Q400=Parametres!$G$3),J400,D400)</f>
        <v>-3</v>
      </c>
      <c r="P400" s="151">
        <f>+IF(OR($Q400=Parametres!$G$2,$Q400=Parametres!$G$3),K400,E400)</f>
        <v>-3</v>
      </c>
      <c r="Q400" s="150" t="str">
        <f t="shared" si="32"/>
        <v>10-Compte compteur</v>
      </c>
      <c r="R400" s="149" t="str">
        <f t="shared" si="33"/>
        <v>450</v>
      </c>
      <c r="S400" s="150" t="str">
        <f t="shared" si="34"/>
        <v>_</v>
      </c>
      <c r="T400" s="152" t="str">
        <f>+VLOOKUP($L400,Data_Validation!$A:$D,1,0)</f>
        <v>450@</v>
      </c>
      <c r="U400" s="152" t="str">
        <f>+VLOOKUP($L400,Data_Validation!$A:$D,3,0)</f>
        <v>Véhicules usagés</v>
      </c>
      <c r="V400" s="152" t="str">
        <f>+VLOOKUP($L400,Data_Validation!$A:$D,4,0)</f>
        <v>Rev. Autres</v>
      </c>
      <c r="W400" s="152" t="str">
        <f>+VLOOKUP($L400,Data_Validation!$A:$E,5,0)</f>
        <v>nb</v>
      </c>
      <c r="X400" s="152">
        <f>+VLOOKUP($L400,Data_Validation!$A:$F,6,0)</f>
        <v>0</v>
      </c>
    </row>
    <row r="401" spans="1:24" ht="15" customHeight="1">
      <c r="A401" s="708" t="s">
        <v>1538</v>
      </c>
      <c r="B401" s="708" t="s">
        <v>732</v>
      </c>
      <c r="C401" s="710"/>
      <c r="D401" s="710"/>
      <c r="E401" s="710"/>
      <c r="F401" s="708" t="s">
        <v>4</v>
      </c>
      <c r="G401" s="708" t="s">
        <v>1012</v>
      </c>
      <c r="H401" s="664" t="s">
        <v>3000</v>
      </c>
      <c r="I401" s="663">
        <v>0</v>
      </c>
      <c r="J401" s="663">
        <v>-1</v>
      </c>
      <c r="K401" s="663">
        <v>-1</v>
      </c>
      <c r="L401" s="149" t="str">
        <f t="shared" si="30"/>
        <v>450C@</v>
      </c>
      <c r="M401" s="150" t="str">
        <f t="shared" si="31"/>
        <v># DE VTE - ACCESSOIRES USAGE BMW</v>
      </c>
      <c r="N401" s="151">
        <f>+IF(OR($Q401=Parametres!$G$2,$Q401=Parametres!$G$3),I401,C401)</f>
        <v>0</v>
      </c>
      <c r="O401" s="151">
        <f>+IF(OR($Q401=Parametres!$G$2,$Q401=Parametres!$G$3),J401,D401)</f>
        <v>-1</v>
      </c>
      <c r="P401" s="151">
        <f>+IF(OR($Q401=Parametres!$G$2,$Q401=Parametres!$G$3),K401,E401)</f>
        <v>-1</v>
      </c>
      <c r="Q401" s="150" t="str">
        <f t="shared" si="32"/>
        <v>10-Compte compteur</v>
      </c>
      <c r="R401" s="149" t="str">
        <f t="shared" si="33"/>
        <v>450</v>
      </c>
      <c r="S401" s="150" t="str">
        <f t="shared" si="34"/>
        <v>_</v>
      </c>
      <c r="T401" s="152" t="str">
        <f>+VLOOKUP($L401,Data_Validation!$A:$D,1,0)</f>
        <v>450C@</v>
      </c>
      <c r="U401" s="152" t="str">
        <f>+VLOOKUP($L401,Data_Validation!$A:$D,3,0)</f>
        <v>Véhicules usagés</v>
      </c>
      <c r="V401" s="152" t="str">
        <f>+VLOOKUP($L401,Data_Validation!$A:$D,4,0)</f>
        <v>Rev. Autres</v>
      </c>
      <c r="W401" s="152" t="str">
        <f>+VLOOKUP($L401,Data_Validation!$A:$E,5,0)</f>
        <v>nb</v>
      </c>
      <c r="X401" s="152">
        <f>+VLOOKUP($L401,Data_Validation!$A:$F,6,0)</f>
        <v>0</v>
      </c>
    </row>
    <row r="402" spans="1:24" ht="15" customHeight="1">
      <c r="A402" s="662" t="s">
        <v>1539</v>
      </c>
      <c r="B402" s="662" t="s">
        <v>1540</v>
      </c>
      <c r="C402" s="663"/>
      <c r="D402" s="663"/>
      <c r="E402" s="663"/>
      <c r="F402" s="662" t="s">
        <v>4</v>
      </c>
      <c r="G402" s="662" t="s">
        <v>1012</v>
      </c>
      <c r="H402" s="657" t="s">
        <v>3000</v>
      </c>
      <c r="I402" s="656">
        <v>0</v>
      </c>
      <c r="J402" s="656">
        <v>-1</v>
      </c>
      <c r="K402" s="656">
        <v>-1</v>
      </c>
      <c r="L402" s="149" t="str">
        <f t="shared" si="30"/>
        <v>450E@</v>
      </c>
      <c r="M402" s="150" t="str">
        <f t="shared" si="31"/>
        <v># DE SLS - PROTEC ESTHETIQUE USAGE BMW AUTO</v>
      </c>
      <c r="N402" s="151">
        <f>+IF(OR($Q402=Parametres!$G$2,$Q402=Parametres!$G$3),I402,C402)</f>
        <v>0</v>
      </c>
      <c r="O402" s="151">
        <f>+IF(OR($Q402=Parametres!$G$2,$Q402=Parametres!$G$3),J402,D402)</f>
        <v>-1</v>
      </c>
      <c r="P402" s="151">
        <f>+IF(OR($Q402=Parametres!$G$2,$Q402=Parametres!$G$3),K402,E402)</f>
        <v>-1</v>
      </c>
      <c r="Q402" s="150" t="str">
        <f t="shared" si="32"/>
        <v>10-Compte compteur</v>
      </c>
      <c r="R402" s="149" t="str">
        <f t="shared" si="33"/>
        <v>450</v>
      </c>
      <c r="S402" s="150" t="str">
        <f t="shared" si="34"/>
        <v>_</v>
      </c>
      <c r="T402" s="152" t="str">
        <f>+VLOOKUP($L402,Data_Validation!$A:$D,1,0)</f>
        <v>450E@</v>
      </c>
      <c r="U402" s="152" t="str">
        <f>+VLOOKUP($L402,Data_Validation!$A:$D,3,0)</f>
        <v>Véhicules usagés</v>
      </c>
      <c r="V402" s="152" t="str">
        <f>+VLOOKUP($L402,Data_Validation!$A:$D,4,0)</f>
        <v>Rev. Protections</v>
      </c>
      <c r="W402" s="152" t="str">
        <f>+VLOOKUP($L402,Data_Validation!$A:$E,5,0)</f>
        <v>nb</v>
      </c>
      <c r="X402" s="152">
        <f>+VLOOKUP($L402,Data_Validation!$A:$F,6,0)</f>
        <v>0</v>
      </c>
    </row>
    <row r="403" spans="1:24" ht="15.75" customHeight="1">
      <c r="A403" s="662" t="s">
        <v>1541</v>
      </c>
      <c r="B403" s="662" t="s">
        <v>733</v>
      </c>
      <c r="C403" s="663"/>
      <c r="D403" s="663"/>
      <c r="E403" s="663"/>
      <c r="F403" s="662" t="s">
        <v>4</v>
      </c>
      <c r="G403" s="662" t="s">
        <v>1012</v>
      </c>
      <c r="H403" s="657" t="s">
        <v>3000</v>
      </c>
      <c r="I403" s="656">
        <v>0</v>
      </c>
      <c r="J403" s="656">
        <v>-2</v>
      </c>
      <c r="K403" s="656">
        <v>-2</v>
      </c>
      <c r="L403" s="149" t="str">
        <f t="shared" si="30"/>
        <v>450F@</v>
      </c>
      <c r="M403" s="150" t="str">
        <f t="shared" si="31"/>
        <v># DE VTE - RIST FIN USAGE BMW AUTO</v>
      </c>
      <c r="N403" s="151">
        <f>+IF(OR($Q403=Parametres!$G$2,$Q403=Parametres!$G$3),I403,C403)</f>
        <v>0</v>
      </c>
      <c r="O403" s="151">
        <f>+IF(OR($Q403=Parametres!$G$2,$Q403=Parametres!$G$3),J403,D403)</f>
        <v>-2</v>
      </c>
      <c r="P403" s="151">
        <f>+IF(OR($Q403=Parametres!$G$2,$Q403=Parametres!$G$3),K403,E403)</f>
        <v>-2</v>
      </c>
      <c r="Q403" s="150" t="str">
        <f t="shared" si="32"/>
        <v>10-Compte compteur</v>
      </c>
      <c r="R403" s="149" t="str">
        <f t="shared" si="33"/>
        <v>450</v>
      </c>
      <c r="S403" s="150" t="str">
        <f t="shared" si="34"/>
        <v>_</v>
      </c>
      <c r="T403" s="152" t="str">
        <f>+VLOOKUP($L403,Data_Validation!$A:$D,1,0)</f>
        <v>450F@</v>
      </c>
      <c r="U403" s="152" t="str">
        <f>+VLOOKUP($L403,Data_Validation!$A:$D,3,0)</f>
        <v>Véhicules usagés</v>
      </c>
      <c r="V403" s="152" t="str">
        <f>+VLOOKUP($L403,Data_Validation!$A:$D,4,0)</f>
        <v>Rev. Finances</v>
      </c>
      <c r="W403" s="152" t="str">
        <f>+VLOOKUP($L403,Data_Validation!$A:$E,5,0)</f>
        <v>nb</v>
      </c>
      <c r="X403" s="152">
        <f>+VLOOKUP($L403,Data_Validation!$A:$F,6,0)</f>
        <v>0</v>
      </c>
    </row>
    <row r="404" spans="1:24" ht="15" customHeight="1">
      <c r="A404" s="708" t="s">
        <v>1556</v>
      </c>
      <c r="B404" s="708" t="s">
        <v>734</v>
      </c>
      <c r="C404" s="710"/>
      <c r="D404" s="710"/>
      <c r="E404" s="710"/>
      <c r="F404" s="708" t="s">
        <v>4</v>
      </c>
      <c r="G404" s="708" t="s">
        <v>368</v>
      </c>
      <c r="H404" s="664" t="s">
        <v>3000</v>
      </c>
      <c r="I404" s="664">
        <v>0</v>
      </c>
      <c r="J404" s="664">
        <v>-1</v>
      </c>
      <c r="K404" s="664">
        <v>-1</v>
      </c>
      <c r="L404" s="149" t="str">
        <f t="shared" si="30"/>
        <v>452@</v>
      </c>
      <c r="M404" s="150" t="str">
        <f t="shared" si="31"/>
        <v># DE VTE - GAR PROL USAGE BMW AUTO</v>
      </c>
      <c r="N404" s="151">
        <f>+IF(OR($Q404=Parametres!$G$2,$Q404=Parametres!$G$3),I404,C404)</f>
        <v>0</v>
      </c>
      <c r="O404" s="497">
        <f>+IF(OR($Q404=Parametres!$G$2,$Q404=Parametres!$G$3),J404,D404)</f>
        <v>-1</v>
      </c>
      <c r="P404" s="151">
        <f>+IF(OR($Q404=Parametres!$G$2,$Q404=Parametres!$G$3),K404,E404)</f>
        <v>-1</v>
      </c>
      <c r="Q404" s="150" t="str">
        <f t="shared" si="32"/>
        <v>10-Compte compteur</v>
      </c>
      <c r="R404" s="149" t="str">
        <f t="shared" si="33"/>
        <v>452</v>
      </c>
      <c r="S404" s="150" t="str">
        <f t="shared" si="34"/>
        <v>_</v>
      </c>
      <c r="T404" s="152" t="str">
        <f>+VLOOKUP($L404,Data_Validation!$A:$D,1,0)</f>
        <v>452@</v>
      </c>
      <c r="U404" s="152" t="str">
        <f>+VLOOKUP($L404,Data_Validation!$A:$D,3,0)</f>
        <v>Véhicules usagés</v>
      </c>
      <c r="V404" s="152" t="str">
        <f>+VLOOKUP($L404,Data_Validation!$A:$D,4,0)</f>
        <v>Rev. Protections</v>
      </c>
      <c r="W404" s="152" t="str">
        <f>+VLOOKUP($L404,Data_Validation!$A:$E,5,0)</f>
        <v>nb</v>
      </c>
      <c r="X404" s="152">
        <f>+VLOOKUP($L404,Data_Validation!$A:$F,6,0)</f>
        <v>0</v>
      </c>
    </row>
    <row r="405" spans="1:24" ht="15" customHeight="1">
      <c r="A405" s="708" t="s">
        <v>2376</v>
      </c>
      <c r="B405" s="708" t="s">
        <v>2377</v>
      </c>
      <c r="C405" s="710"/>
      <c r="D405" s="710"/>
      <c r="E405" s="710"/>
      <c r="F405" s="708" t="s">
        <v>4</v>
      </c>
      <c r="G405" s="708" t="s">
        <v>2360</v>
      </c>
      <c r="H405" s="602" t="s">
        <v>3000</v>
      </c>
      <c r="I405" s="601">
        <v>0</v>
      </c>
      <c r="J405" s="601">
        <v>-2</v>
      </c>
      <c r="K405" s="601">
        <v>-2</v>
      </c>
      <c r="L405" s="149" t="str">
        <f t="shared" si="30"/>
        <v>454@</v>
      </c>
      <c r="M405" s="150" t="str">
        <f t="shared" si="31"/>
        <v># DE VTE - CONT ENTR USAGE BMW AUTO</v>
      </c>
      <c r="N405" s="151">
        <f>+IF(OR($Q405=Parametres!$G$2,$Q405=Parametres!$G$3),I405,C405)</f>
        <v>0</v>
      </c>
      <c r="O405" s="151">
        <f>+IF(OR($Q405=Parametres!$G$2,$Q405=Parametres!$G$3),J405,D405)</f>
        <v>-2</v>
      </c>
      <c r="P405" s="151">
        <f>+IF(OR($Q405=Parametres!$G$2,$Q405=Parametres!$G$3),K405,E405)</f>
        <v>-2</v>
      </c>
      <c r="Q405" s="150" t="str">
        <f t="shared" si="32"/>
        <v>10-Compte compteur</v>
      </c>
      <c r="R405" s="149" t="str">
        <f t="shared" si="33"/>
        <v>454</v>
      </c>
      <c r="S405" s="150" t="str">
        <f t="shared" si="34"/>
        <v>_</v>
      </c>
      <c r="T405" s="152" t="str">
        <f>+VLOOKUP($L405,Data_Validation!$A:$D,1,0)</f>
        <v>454@</v>
      </c>
      <c r="U405" s="152" t="str">
        <f>+VLOOKUP($L405,Data_Validation!$A:$D,3,0)</f>
        <v>Véhicules usagés</v>
      </c>
      <c r="V405" s="152" t="str">
        <f>+VLOOKUP($L405,Data_Validation!$A:$D,4,0)</f>
        <v>Rev. Protections</v>
      </c>
      <c r="W405" s="152" t="str">
        <f>+VLOOKUP($L405,Data_Validation!$A:$E,5,0)</f>
        <v>NB</v>
      </c>
      <c r="X405" s="152">
        <f>+VLOOKUP($L405,Data_Validation!$A:$F,6,0)</f>
        <v>0</v>
      </c>
    </row>
    <row r="406" spans="1:24" ht="15" customHeight="1">
      <c r="A406" s="708" t="s">
        <v>2181</v>
      </c>
      <c r="B406" s="708" t="s">
        <v>2182</v>
      </c>
      <c r="C406" s="710"/>
      <c r="D406" s="710"/>
      <c r="E406" s="710"/>
      <c r="F406" s="708" t="s">
        <v>4</v>
      </c>
      <c r="G406" s="708" t="s">
        <v>2360</v>
      </c>
      <c r="H406" s="657" t="s">
        <v>3000</v>
      </c>
      <c r="I406" s="656">
        <v>0</v>
      </c>
      <c r="J406" s="656">
        <v>-1</v>
      </c>
      <c r="K406" s="656">
        <v>-1</v>
      </c>
      <c r="L406" s="149" t="str">
        <f t="shared" si="30"/>
        <v>454A@</v>
      </c>
      <c r="M406" s="150" t="str">
        <f t="shared" si="31"/>
        <v># OF VTES -CONT ENTRET USAGE BMW NON-CERT</v>
      </c>
      <c r="N406" s="151">
        <f>+IF(OR($Q406=Parametres!$G$2,$Q406=Parametres!$G$3),I406,C406)</f>
        <v>0</v>
      </c>
      <c r="O406" s="151">
        <f>+IF(OR($Q406=Parametres!$G$2,$Q406=Parametres!$G$3),J406,D406)</f>
        <v>-1</v>
      </c>
      <c r="P406" s="151">
        <f>+IF(OR($Q406=Parametres!$G$2,$Q406=Parametres!$G$3),K406,E406)</f>
        <v>-1</v>
      </c>
      <c r="Q406" s="150" t="str">
        <f t="shared" si="32"/>
        <v>10-Compte compteur</v>
      </c>
      <c r="R406" s="149" t="str">
        <f t="shared" si="33"/>
        <v>454</v>
      </c>
      <c r="S406" s="150" t="str">
        <f t="shared" si="34"/>
        <v>_</v>
      </c>
      <c r="T406" s="152" t="str">
        <f>+VLOOKUP($L406,Data_Validation!$A:$D,1,0)</f>
        <v>454A@</v>
      </c>
      <c r="U406" s="152" t="str">
        <f>+VLOOKUP($L406,Data_Validation!$A:$D,3,0)</f>
        <v>Véhicules usagés</v>
      </c>
      <c r="V406" s="152" t="str">
        <f>+VLOOKUP($L406,Data_Validation!$A:$D,4,0)</f>
        <v>Rev. Protections</v>
      </c>
      <c r="W406" s="152" t="str">
        <f>+VLOOKUP($L406,Data_Validation!$A:$E,5,0)</f>
        <v>NB</v>
      </c>
      <c r="X406" s="152">
        <f>+VLOOKUP($L406,Data_Validation!$A:$F,6,0)</f>
        <v>0</v>
      </c>
    </row>
    <row r="407" spans="1:24" ht="15.75" customHeight="1">
      <c r="A407" s="708" t="s">
        <v>2074</v>
      </c>
      <c r="B407" s="708" t="s">
        <v>2075</v>
      </c>
      <c r="C407" s="709"/>
      <c r="D407" s="709"/>
      <c r="E407" s="709"/>
      <c r="F407" s="708" t="s">
        <v>4</v>
      </c>
      <c r="G407" s="708" t="s">
        <v>1012</v>
      </c>
      <c r="H407" s="709" t="s">
        <v>3000</v>
      </c>
      <c r="I407" s="710">
        <v>0</v>
      </c>
      <c r="J407" s="710">
        <v>-1</v>
      </c>
      <c r="K407" s="710">
        <v>-1</v>
      </c>
      <c r="L407" s="149" t="str">
        <f t="shared" si="30"/>
        <v>454E@</v>
      </c>
      <c r="M407" s="150" t="str">
        <f t="shared" si="31"/>
        <v># OF VTES -PROTEC ESTHETIQUE USAGE BMW NON-CE</v>
      </c>
      <c r="N407" s="151">
        <f>+IF(OR($Q407=Parametres!$G$2,$Q407=Parametres!$G$3),I407,C407)</f>
        <v>0</v>
      </c>
      <c r="O407" s="151">
        <f>+IF(OR($Q407=Parametres!$G$2,$Q407=Parametres!$G$3),J407,D407)</f>
        <v>-1</v>
      </c>
      <c r="P407" s="151">
        <f>+IF(OR($Q407=Parametres!$G$2,$Q407=Parametres!$G$3),K407,E407)</f>
        <v>-1</v>
      </c>
      <c r="Q407" s="150" t="str">
        <f t="shared" si="32"/>
        <v>10-Compte compteur</v>
      </c>
      <c r="R407" s="149" t="str">
        <f t="shared" si="33"/>
        <v>450</v>
      </c>
      <c r="S407" s="150" t="str">
        <f t="shared" si="34"/>
        <v>_</v>
      </c>
      <c r="T407" s="152" t="str">
        <f>+VLOOKUP($L407,Data_Validation!$A:$D,1,0)</f>
        <v>454E@</v>
      </c>
      <c r="U407" s="152" t="str">
        <f>+VLOOKUP($L407,Data_Validation!$A:$D,3,0)</f>
        <v>Véhicules usagés</v>
      </c>
      <c r="V407" s="152" t="str">
        <f>+VLOOKUP($L407,Data_Validation!$A:$D,4,0)</f>
        <v>Rev. Protections</v>
      </c>
      <c r="W407" s="152" t="str">
        <f>+VLOOKUP($L407,Data_Validation!$A:$E,5,0)</f>
        <v>NB</v>
      </c>
      <c r="X407" s="152">
        <f>+VLOOKUP($L407,Data_Validation!$A:$F,6,0)</f>
        <v>0</v>
      </c>
    </row>
    <row r="408" spans="1:24" ht="15" customHeight="1">
      <c r="A408" s="708" t="s">
        <v>1957</v>
      </c>
      <c r="B408" s="708" t="s">
        <v>1958</v>
      </c>
      <c r="C408" s="710"/>
      <c r="D408" s="710"/>
      <c r="E408" s="710"/>
      <c r="F408" s="708" t="s">
        <v>4</v>
      </c>
      <c r="G408" s="708" t="s">
        <v>1012</v>
      </c>
      <c r="H408" s="664" t="s">
        <v>3000</v>
      </c>
      <c r="I408" s="663">
        <v>0</v>
      </c>
      <c r="J408" s="663">
        <v>-1</v>
      </c>
      <c r="K408" s="663">
        <v>-1</v>
      </c>
      <c r="L408" s="149" t="str">
        <f t="shared" si="30"/>
        <v>454F@</v>
      </c>
      <c r="M408" s="150" t="str">
        <f t="shared" si="31"/>
        <v># OF VTES -RIST FINANCE USAGE BMW NON-CERT</v>
      </c>
      <c r="N408" s="151">
        <f>+IF(OR($Q408=Parametres!$G$2,$Q408=Parametres!$G$3),I408,C408)</f>
        <v>0</v>
      </c>
      <c r="O408" s="151">
        <f>+IF(OR($Q408=Parametres!$G$2,$Q408=Parametres!$G$3),J408,D408)</f>
        <v>-1</v>
      </c>
      <c r="P408" s="151">
        <f>+IF(OR($Q408=Parametres!$G$2,$Q408=Parametres!$G$3),K408,E408)</f>
        <v>-1</v>
      </c>
      <c r="Q408" s="150" t="str">
        <f t="shared" si="32"/>
        <v>10-Compte compteur</v>
      </c>
      <c r="R408" s="149" t="str">
        <f t="shared" si="33"/>
        <v>450</v>
      </c>
      <c r="S408" s="150" t="str">
        <f t="shared" si="34"/>
        <v>_</v>
      </c>
      <c r="T408" s="152" t="str">
        <f>+VLOOKUP($L408,Data_Validation!$A:$D,1,0)</f>
        <v>454F@</v>
      </c>
      <c r="U408" s="152" t="str">
        <f>+VLOOKUP($L408,Data_Validation!$A:$D,3,0)</f>
        <v>Véhicules usagés</v>
      </c>
      <c r="V408" s="152" t="str">
        <f>+VLOOKUP($L408,Data_Validation!$A:$D,4,0)</f>
        <v>Rev. Finances</v>
      </c>
      <c r="W408" s="152" t="str">
        <f>+VLOOKUP($L408,Data_Validation!$A:$E,5,0)</f>
        <v>nb</v>
      </c>
      <c r="X408" s="152">
        <f>+VLOOKUP($L408,Data_Validation!$A:$F,6,0)</f>
        <v>0</v>
      </c>
    </row>
    <row r="409" spans="1:24" ht="15" customHeight="1">
      <c r="A409" s="708" t="s">
        <v>1959</v>
      </c>
      <c r="B409" s="708" t="s">
        <v>1960</v>
      </c>
      <c r="C409" s="710"/>
      <c r="D409" s="710"/>
      <c r="E409" s="710"/>
      <c r="F409" s="708" t="s">
        <v>4</v>
      </c>
      <c r="G409" s="708" t="s">
        <v>1012</v>
      </c>
      <c r="H409" s="664" t="s">
        <v>3000</v>
      </c>
      <c r="I409" s="663">
        <v>0</v>
      </c>
      <c r="J409" s="663">
        <v>-2</v>
      </c>
      <c r="K409" s="663">
        <v>-2</v>
      </c>
      <c r="L409" s="149" t="str">
        <f t="shared" si="30"/>
        <v>454M@</v>
      </c>
      <c r="M409" s="150" t="str">
        <f t="shared" si="31"/>
        <v># OF VTES -MARQUAGE USAGE BMW NON-CERT</v>
      </c>
      <c r="N409" s="151">
        <f>+IF(OR($Q409=Parametres!$G$2,$Q409=Parametres!$G$3),I409,C409)</f>
        <v>0</v>
      </c>
      <c r="O409" s="151">
        <f>+IF(OR($Q409=Parametres!$G$2,$Q409=Parametres!$G$3),J409,D409)</f>
        <v>-2</v>
      </c>
      <c r="P409" s="151">
        <f>+IF(OR($Q409=Parametres!$G$2,$Q409=Parametres!$G$3),K409,E409)</f>
        <v>-2</v>
      </c>
      <c r="Q409" s="150" t="str">
        <f t="shared" si="32"/>
        <v>10-Compte compteur</v>
      </c>
      <c r="R409" s="149" t="str">
        <f t="shared" si="33"/>
        <v>450</v>
      </c>
      <c r="S409" s="150" t="str">
        <f t="shared" si="34"/>
        <v>_</v>
      </c>
      <c r="T409" s="152" t="str">
        <f>+VLOOKUP($L409,Data_Validation!$A:$D,1,0)</f>
        <v>454M@</v>
      </c>
      <c r="U409" s="152" t="str">
        <f>+VLOOKUP($L409,Data_Validation!$A:$D,3,0)</f>
        <v>Véhicules usagés</v>
      </c>
      <c r="V409" s="152" t="str">
        <f>+VLOOKUP($L409,Data_Validation!$A:$D,4,0)</f>
        <v>Rev. Protections</v>
      </c>
      <c r="W409" s="152" t="str">
        <f>+VLOOKUP($L409,Data_Validation!$A:$E,5,0)</f>
        <v>nb</v>
      </c>
      <c r="X409" s="152">
        <f>+VLOOKUP($L409,Data_Validation!$A:$F,6,0)</f>
        <v>0</v>
      </c>
    </row>
    <row r="410" spans="1:24" ht="15" customHeight="1">
      <c r="A410" s="708" t="s">
        <v>1561</v>
      </c>
      <c r="B410" s="708" t="s">
        <v>739</v>
      </c>
      <c r="C410" s="709"/>
      <c r="D410" s="709"/>
      <c r="E410" s="709"/>
      <c r="F410" s="708" t="s">
        <v>4</v>
      </c>
      <c r="G410" s="708" t="s">
        <v>450</v>
      </c>
      <c r="H410" s="709" t="s">
        <v>3000</v>
      </c>
      <c r="I410" s="710">
        <v>0</v>
      </c>
      <c r="J410" s="710">
        <v>-8</v>
      </c>
      <c r="K410" s="710">
        <v>-8</v>
      </c>
      <c r="L410" s="149" t="str">
        <f t="shared" si="30"/>
        <v>459A@</v>
      </c>
      <c r="M410" s="150" t="str">
        <f t="shared" si="31"/>
        <v># DE VTE - BMW SPA PROGRAMME</v>
      </c>
      <c r="N410" s="151">
        <f>+IF(OR($Q410=Parametres!$G$2,$Q410=Parametres!$G$3),I410,C410)</f>
        <v>0</v>
      </c>
      <c r="O410" s="151">
        <f>+IF(OR($Q410=Parametres!$G$2,$Q410=Parametres!$G$3),J410,D410)</f>
        <v>-8</v>
      </c>
      <c r="P410" s="151">
        <f>+IF(OR($Q410=Parametres!$G$2,$Q410=Parametres!$G$3),K410,E410)</f>
        <v>-8</v>
      </c>
      <c r="Q410" s="150" t="str">
        <f t="shared" si="32"/>
        <v>10-Compte compteur</v>
      </c>
      <c r="R410" s="149" t="str">
        <f t="shared" si="33"/>
        <v>459A</v>
      </c>
      <c r="S410" s="150" t="str">
        <f t="shared" si="34"/>
        <v>_</v>
      </c>
      <c r="T410" s="152" t="str">
        <f>+VLOOKUP($L410,Data_Validation!$A:$D,1,0)</f>
        <v>459A@</v>
      </c>
      <c r="U410" s="152" t="str">
        <f>+VLOOKUP($L410,Data_Validation!$A:$D,3,0)</f>
        <v>service</v>
      </c>
      <c r="V410" s="152" t="str">
        <f>+VLOOKUP($L410,Data_Validation!$A:$D,4,0)</f>
        <v>M/O Esthétique</v>
      </c>
      <c r="W410" s="152" t="str">
        <f>+VLOOKUP($L410,Data_Validation!$A:$E,5,0)</f>
        <v>nb</v>
      </c>
      <c r="X410" s="152">
        <f>+VLOOKUP($L410,Data_Validation!$A:$F,6,0)</f>
        <v>0</v>
      </c>
    </row>
    <row r="411" spans="1:24" ht="15.75" customHeight="1">
      <c r="A411" s="708" t="s">
        <v>2193</v>
      </c>
      <c r="B411" s="708" t="s">
        <v>2194</v>
      </c>
      <c r="C411" s="709"/>
      <c r="D411" s="709"/>
      <c r="E411" s="709"/>
      <c r="F411" s="708" t="s">
        <v>4</v>
      </c>
      <c r="G411" s="708" t="s">
        <v>2416</v>
      </c>
      <c r="H411" s="709" t="s">
        <v>3000</v>
      </c>
      <c r="I411" s="710">
        <v>0</v>
      </c>
      <c r="J411" s="710">
        <v>-1</v>
      </c>
      <c r="K411" s="710">
        <v>-1</v>
      </c>
      <c r="L411" s="149" t="str">
        <f t="shared" si="30"/>
        <v>459B@</v>
      </c>
      <c r="M411" s="150" t="str">
        <f t="shared" si="31"/>
        <v># OF VTES -VTE - SUBLET ESTHETIQUE</v>
      </c>
      <c r="N411" s="151">
        <f>+IF(OR($Q411=Parametres!$G$2,$Q411=Parametres!$G$3),I411,C411)</f>
        <v>0</v>
      </c>
      <c r="O411" s="151">
        <f>+IF(OR($Q411=Parametres!$G$2,$Q411=Parametres!$G$3),J411,D411)</f>
        <v>-1</v>
      </c>
      <c r="P411" s="151">
        <f>+IF(OR($Q411=Parametres!$G$2,$Q411=Parametres!$G$3),K411,E411)</f>
        <v>-1</v>
      </c>
      <c r="Q411" s="150" t="str">
        <f t="shared" si="32"/>
        <v>10-Compte compteur</v>
      </c>
      <c r="R411" s="149" t="str">
        <f t="shared" si="33"/>
        <v>459</v>
      </c>
      <c r="S411" s="150" t="str">
        <f t="shared" si="34"/>
        <v>_</v>
      </c>
      <c r="T411" s="152" t="str">
        <f>+VLOOKUP($L411,Data_Validation!$A:$D,1,0)</f>
        <v>459B@</v>
      </c>
      <c r="U411" s="152" t="str">
        <f>+VLOOKUP($L411,Data_Validation!$A:$D,3,0)</f>
        <v>Service</v>
      </c>
      <c r="V411" s="152" t="str">
        <f>+VLOOKUP($L411,Data_Validation!$A:$D,4,0)</f>
        <v>M/O Esthétique</v>
      </c>
      <c r="W411" s="152" t="str">
        <f>+VLOOKUP($L411,Data_Validation!$A:$E,5,0)</f>
        <v>nb</v>
      </c>
      <c r="X411" s="152">
        <f>+VLOOKUP($L411,Data_Validation!$A:$F,6,0)</f>
        <v>0</v>
      </c>
    </row>
    <row r="412" spans="1:24" ht="15" customHeight="1">
      <c r="A412" s="662" t="s">
        <v>1562</v>
      </c>
      <c r="B412" s="662" t="s">
        <v>1563</v>
      </c>
      <c r="C412" s="663"/>
      <c r="D412" s="663"/>
      <c r="E412" s="663"/>
      <c r="F412" s="662" t="s">
        <v>4</v>
      </c>
      <c r="G412" s="662" t="s">
        <v>1116</v>
      </c>
      <c r="H412" s="657" t="s">
        <v>3000</v>
      </c>
      <c r="I412" s="656">
        <v>0</v>
      </c>
      <c r="J412" s="656">
        <v>-54</v>
      </c>
      <c r="K412" s="656">
        <v>-54</v>
      </c>
      <c r="L412" s="149" t="str">
        <f t="shared" si="30"/>
        <v>460A@</v>
      </c>
      <c r="M412" s="150" t="str">
        <f t="shared" si="31"/>
        <v># DE VTE - M/O CLIENT BMW AUTO</v>
      </c>
      <c r="N412" s="151">
        <f>+IF(OR($Q412=Parametres!$G$2,$Q412=Parametres!$G$3),I412,C412)</f>
        <v>0</v>
      </c>
      <c r="O412" s="151">
        <f>+IF(OR($Q412=Parametres!$G$2,$Q412=Parametres!$G$3),J412,D412)</f>
        <v>-54</v>
      </c>
      <c r="P412" s="151">
        <f>+IF(OR($Q412=Parametres!$G$2,$Q412=Parametres!$G$3),K412,E412)</f>
        <v>-54</v>
      </c>
      <c r="Q412" s="150" t="str">
        <f t="shared" si="32"/>
        <v>10-Compte compteur</v>
      </c>
      <c r="R412" s="149" t="str">
        <f t="shared" si="33"/>
        <v>460A</v>
      </c>
      <c r="S412" s="150" t="str">
        <f t="shared" si="34"/>
        <v>_</v>
      </c>
      <c r="T412" s="152" t="str">
        <f>+VLOOKUP($L412,Data_Validation!$A:$D,1,0)</f>
        <v>460A@</v>
      </c>
      <c r="U412" s="152" t="str">
        <f>+VLOOKUP($L412,Data_Validation!$A:$D,3,0)</f>
        <v>service</v>
      </c>
      <c r="V412" s="152" t="str">
        <f>+VLOOKUP($L412,Data_Validation!$A:$D,4,0)</f>
        <v>M/O Client</v>
      </c>
      <c r="W412" s="152" t="str">
        <f>+VLOOKUP($L412,Data_Validation!$A:$E,5,0)</f>
        <v>nb</v>
      </c>
      <c r="X412" s="152">
        <f>+VLOOKUP($L412,Data_Validation!$A:$F,6,0)</f>
        <v>0</v>
      </c>
    </row>
    <row r="413" spans="1:24" ht="15" customHeight="1">
      <c r="A413" s="708" t="s">
        <v>1564</v>
      </c>
      <c r="B413" s="708" t="s">
        <v>740</v>
      </c>
      <c r="C413" s="710"/>
      <c r="D413" s="710"/>
      <c r="E413" s="710"/>
      <c r="F413" s="708" t="s">
        <v>4</v>
      </c>
      <c r="G413" s="708" t="s">
        <v>1116</v>
      </c>
      <c r="H413" s="664" t="s">
        <v>3000</v>
      </c>
      <c r="I413" s="663">
        <v>0</v>
      </c>
      <c r="J413" s="663">
        <v>-60</v>
      </c>
      <c r="K413" s="663">
        <v>-60</v>
      </c>
      <c r="L413" s="149" t="str">
        <f t="shared" si="30"/>
        <v>460B@</v>
      </c>
      <c r="M413" s="150" t="str">
        <f t="shared" si="31"/>
        <v># DE VTE - M/O CLIENT BMW CAMION</v>
      </c>
      <c r="N413" s="151">
        <f>+IF(OR($Q413=Parametres!$G$2,$Q413=Parametres!$G$3),I413,C413)</f>
        <v>0</v>
      </c>
      <c r="O413" s="151">
        <f>+IF(OR($Q413=Parametres!$G$2,$Q413=Parametres!$G$3),J413,D413)</f>
        <v>-60</v>
      </c>
      <c r="P413" s="151">
        <f>+IF(OR($Q413=Parametres!$G$2,$Q413=Parametres!$G$3),K413,E413)</f>
        <v>-60</v>
      </c>
      <c r="Q413" s="150" t="str">
        <f t="shared" si="32"/>
        <v>10-Compte compteur</v>
      </c>
      <c r="R413" s="149" t="str">
        <f t="shared" si="33"/>
        <v>460A</v>
      </c>
      <c r="S413" s="150" t="str">
        <f t="shared" si="34"/>
        <v>_</v>
      </c>
      <c r="T413" s="152" t="str">
        <f>+VLOOKUP($L413,Data_Validation!$A:$D,1,0)</f>
        <v>460B@</v>
      </c>
      <c r="U413" s="152" t="str">
        <f>+VLOOKUP($L413,Data_Validation!$A:$D,3,0)</f>
        <v>service</v>
      </c>
      <c r="V413" s="152" t="str">
        <f>+VLOOKUP($L413,Data_Validation!$A:$D,4,0)</f>
        <v>M/O Client</v>
      </c>
      <c r="W413" s="152" t="str">
        <f>+VLOOKUP($L413,Data_Validation!$A:$E,5,0)</f>
        <v>nb</v>
      </c>
      <c r="X413" s="152">
        <f>+VLOOKUP($L413,Data_Validation!$A:$F,6,0)</f>
        <v>0</v>
      </c>
    </row>
    <row r="414" spans="1:24" ht="15" customHeight="1">
      <c r="A414" s="708" t="s">
        <v>1047</v>
      </c>
      <c r="B414" s="708" t="s">
        <v>741</v>
      </c>
      <c r="C414" s="710"/>
      <c r="D414" s="710"/>
      <c r="E414" s="710"/>
      <c r="F414" s="708" t="s">
        <v>4</v>
      </c>
      <c r="G414" s="708" t="s">
        <v>1116</v>
      </c>
      <c r="H414" s="602" t="s">
        <v>3000</v>
      </c>
      <c r="I414" s="602">
        <v>0</v>
      </c>
      <c r="J414" s="602">
        <v>-8</v>
      </c>
      <c r="K414" s="602">
        <v>-8</v>
      </c>
      <c r="L414" s="149" t="str">
        <f t="shared" si="30"/>
        <v>460D@</v>
      </c>
      <c r="M414" s="150" t="str">
        <f t="shared" si="31"/>
        <v># DE VTE - M/O CLIENT BMW I</v>
      </c>
      <c r="N414" s="151">
        <f>+IF(OR($Q414=Parametres!$G$2,$Q414=Parametres!$G$3),I414,C414)</f>
        <v>0</v>
      </c>
      <c r="O414" s="151">
        <f>+IF(OR($Q414=Parametres!$G$2,$Q414=Parametres!$G$3),J414,D414)</f>
        <v>-8</v>
      </c>
      <c r="P414" s="151">
        <f>+IF(OR($Q414=Parametres!$G$2,$Q414=Parametres!$G$3),K414,E414)</f>
        <v>-8</v>
      </c>
      <c r="Q414" s="150" t="str">
        <f t="shared" si="32"/>
        <v>10-Compte compteur</v>
      </c>
      <c r="R414" s="149" t="str">
        <f t="shared" si="33"/>
        <v>460A</v>
      </c>
      <c r="S414" s="150" t="str">
        <f t="shared" si="34"/>
        <v>_</v>
      </c>
      <c r="T414" s="152" t="str">
        <f>+VLOOKUP($L414,Data_Validation!$A:$D,1,0)</f>
        <v>460D@</v>
      </c>
      <c r="U414" s="152" t="str">
        <f>+VLOOKUP($L414,Data_Validation!$A:$D,3,0)</f>
        <v>service</v>
      </c>
      <c r="V414" s="152" t="str">
        <f>+VLOOKUP($L414,Data_Validation!$A:$D,4,0)</f>
        <v>M/O Client</v>
      </c>
      <c r="W414" s="152" t="str">
        <f>+VLOOKUP($L414,Data_Validation!$A:$E,5,0)</f>
        <v>nb</v>
      </c>
      <c r="X414" s="152">
        <f>+VLOOKUP($L414,Data_Validation!$A:$F,6,0)</f>
        <v>0</v>
      </c>
    </row>
    <row r="415" spans="1:24" ht="15.75" customHeight="1">
      <c r="A415" s="708" t="s">
        <v>1565</v>
      </c>
      <c r="B415" s="708" t="s">
        <v>1566</v>
      </c>
      <c r="C415" s="710"/>
      <c r="D415" s="710"/>
      <c r="E415" s="710"/>
      <c r="F415" s="708" t="s">
        <v>4</v>
      </c>
      <c r="G415" s="708" t="s">
        <v>1110</v>
      </c>
      <c r="H415" s="657" t="s">
        <v>3000</v>
      </c>
      <c r="I415" s="656">
        <v>0</v>
      </c>
      <c r="J415" s="656">
        <v>-43</v>
      </c>
      <c r="K415" s="656">
        <v>-43</v>
      </c>
      <c r="L415" s="149" t="str">
        <f t="shared" si="30"/>
        <v>461A@</v>
      </c>
      <c r="M415" s="150" t="str">
        <f t="shared" si="31"/>
        <v># DE VTE - M/O GARANTIE BMW AUTO</v>
      </c>
      <c r="N415" s="151">
        <f>+IF(OR($Q415=Parametres!$G$2,$Q415=Parametres!$G$3),I415,C415)</f>
        <v>0</v>
      </c>
      <c r="O415" s="151">
        <f>+IF(OR($Q415=Parametres!$G$2,$Q415=Parametres!$G$3),J415,D415)</f>
        <v>-43</v>
      </c>
      <c r="P415" s="151">
        <f>+IF(OR($Q415=Parametres!$G$2,$Q415=Parametres!$G$3),K415,E415)</f>
        <v>-43</v>
      </c>
      <c r="Q415" s="150" t="str">
        <f t="shared" si="32"/>
        <v>10-Compte compteur</v>
      </c>
      <c r="R415" s="149" t="str">
        <f t="shared" si="33"/>
        <v>461A</v>
      </c>
      <c r="S415" s="150" t="str">
        <f t="shared" si="34"/>
        <v>_</v>
      </c>
      <c r="T415" s="152" t="str">
        <f>+VLOOKUP($L415,Data_Validation!$A:$D,1,0)</f>
        <v>461A@</v>
      </c>
      <c r="U415" s="152" t="str">
        <f>+VLOOKUP($L415,Data_Validation!$A:$D,3,0)</f>
        <v>service</v>
      </c>
      <c r="V415" s="152" t="str">
        <f>+VLOOKUP($L415,Data_Validation!$A:$D,4,0)</f>
        <v>M/O Garantie</v>
      </c>
      <c r="W415" s="152" t="str">
        <f>+VLOOKUP($L415,Data_Validation!$A:$E,5,0)</f>
        <v>nb</v>
      </c>
      <c r="X415" s="152">
        <f>+VLOOKUP($L415,Data_Validation!$A:$F,6,0)</f>
        <v>0</v>
      </c>
    </row>
    <row r="416" spans="1:24" ht="15" customHeight="1">
      <c r="A416" s="708" t="s">
        <v>1567</v>
      </c>
      <c r="B416" s="708" t="s">
        <v>742</v>
      </c>
      <c r="C416" s="710"/>
      <c r="D416" s="710"/>
      <c r="E416" s="710"/>
      <c r="F416" s="708" t="s">
        <v>4</v>
      </c>
      <c r="G416" s="708" t="s">
        <v>1110</v>
      </c>
      <c r="H416" s="664" t="s">
        <v>3000</v>
      </c>
      <c r="I416" s="663">
        <v>0</v>
      </c>
      <c r="J416" s="663">
        <v>-39</v>
      </c>
      <c r="K416" s="663">
        <v>-39</v>
      </c>
      <c r="L416" s="149" t="str">
        <f t="shared" si="30"/>
        <v>461B@</v>
      </c>
      <c r="M416" s="150" t="str">
        <f t="shared" si="31"/>
        <v># DE VTE - M/O GARANTIE BMW CAMION</v>
      </c>
      <c r="N416" s="151">
        <f>+IF(OR($Q416=Parametres!$G$2,$Q416=Parametres!$G$3),I416,C416)</f>
        <v>0</v>
      </c>
      <c r="O416" s="151">
        <f>+IF(OR($Q416=Parametres!$G$2,$Q416=Parametres!$G$3),J416,D416)</f>
        <v>-39</v>
      </c>
      <c r="P416" s="151">
        <f>+IF(OR($Q416=Parametres!$G$2,$Q416=Parametres!$G$3),K416,E416)</f>
        <v>-39</v>
      </c>
      <c r="Q416" s="150" t="str">
        <f t="shared" si="32"/>
        <v>10-Compte compteur</v>
      </c>
      <c r="R416" s="149" t="str">
        <f t="shared" si="33"/>
        <v>461A</v>
      </c>
      <c r="S416" s="150" t="str">
        <f t="shared" si="34"/>
        <v>_</v>
      </c>
      <c r="T416" s="152" t="str">
        <f>+VLOOKUP($L416,Data_Validation!$A:$D,1,0)</f>
        <v>461B@</v>
      </c>
      <c r="U416" s="152" t="str">
        <f>+VLOOKUP($L416,Data_Validation!$A:$D,3,0)</f>
        <v>service</v>
      </c>
      <c r="V416" s="152" t="str">
        <f>+VLOOKUP($L416,Data_Validation!$A:$D,4,0)</f>
        <v>M/O Garantie</v>
      </c>
      <c r="W416" s="152" t="str">
        <f>+VLOOKUP($L416,Data_Validation!$A:$E,5,0)</f>
        <v>nb</v>
      </c>
      <c r="X416" s="152">
        <f>+VLOOKUP($L416,Data_Validation!$A:$F,6,0)</f>
        <v>0</v>
      </c>
    </row>
    <row r="417" spans="1:24" ht="15" customHeight="1">
      <c r="A417" s="708" t="s">
        <v>1568</v>
      </c>
      <c r="B417" s="708" t="s">
        <v>743</v>
      </c>
      <c r="C417" s="709"/>
      <c r="D417" s="709"/>
      <c r="E417" s="709"/>
      <c r="F417" s="708" t="s">
        <v>4</v>
      </c>
      <c r="G417" s="708" t="s">
        <v>441</v>
      </c>
      <c r="H417" s="709" t="s">
        <v>3000</v>
      </c>
      <c r="I417" s="710">
        <v>0</v>
      </c>
      <c r="J417" s="710">
        <v>-7</v>
      </c>
      <c r="K417" s="710">
        <v>-7</v>
      </c>
      <c r="L417" s="149" t="str">
        <f t="shared" si="30"/>
        <v>461D@</v>
      </c>
      <c r="M417" s="150" t="str">
        <f t="shared" si="31"/>
        <v># DE VTE - M/O ENTRETIEN BMW AUTO</v>
      </c>
      <c r="N417" s="151">
        <f>+IF(OR($Q417=Parametres!$G$2,$Q417=Parametres!$G$3),I417,C417)</f>
        <v>0</v>
      </c>
      <c r="O417" s="151">
        <f>+IF(OR($Q417=Parametres!$G$2,$Q417=Parametres!$G$3),J417,D417)</f>
        <v>-7</v>
      </c>
      <c r="P417" s="151">
        <f>+IF(OR($Q417=Parametres!$G$2,$Q417=Parametres!$G$3),K417,E417)</f>
        <v>-7</v>
      </c>
      <c r="Q417" s="150" t="str">
        <f t="shared" si="32"/>
        <v>10-Compte compteur</v>
      </c>
      <c r="R417" s="149" t="str">
        <f t="shared" si="33"/>
        <v>461D</v>
      </c>
      <c r="S417" s="150" t="str">
        <f t="shared" si="34"/>
        <v>_</v>
      </c>
      <c r="T417" s="152" t="str">
        <f>+VLOOKUP($L417,Data_Validation!$A:$D,1,0)</f>
        <v>461D@</v>
      </c>
      <c r="U417" s="152" t="str">
        <f>+VLOOKUP($L417,Data_Validation!$A:$D,3,0)</f>
        <v>service</v>
      </c>
      <c r="V417" s="152" t="str">
        <f>+VLOOKUP($L417,Data_Validation!$A:$D,4,0)</f>
        <v>M/O Garantie</v>
      </c>
      <c r="W417" s="152" t="str">
        <f>+VLOOKUP($L417,Data_Validation!$A:$E,5,0)</f>
        <v>nb</v>
      </c>
      <c r="X417" s="152">
        <f>+VLOOKUP($L417,Data_Validation!$A:$F,6,0)</f>
        <v>0</v>
      </c>
    </row>
    <row r="418" spans="1:24" ht="15" customHeight="1">
      <c r="A418" s="708" t="s">
        <v>1569</v>
      </c>
      <c r="B418" s="708" t="s">
        <v>744</v>
      </c>
      <c r="C418" s="709"/>
      <c r="D418" s="709"/>
      <c r="E418" s="709"/>
      <c r="F418" s="708" t="s">
        <v>4</v>
      </c>
      <c r="G418" s="708" t="s">
        <v>441</v>
      </c>
      <c r="H418" s="709" t="s">
        <v>3000</v>
      </c>
      <c r="I418" s="710">
        <v>0</v>
      </c>
      <c r="J418" s="710">
        <v>-46</v>
      </c>
      <c r="K418" s="710">
        <v>-46</v>
      </c>
      <c r="L418" s="149" t="str">
        <f t="shared" si="30"/>
        <v>461E@</v>
      </c>
      <c r="M418" s="150" t="str">
        <f t="shared" si="31"/>
        <v># DE VTE - M/O ENTRETIEN BMW CAMION</v>
      </c>
      <c r="N418" s="151">
        <f>+IF(OR($Q418=Parametres!$G$2,$Q418=Parametres!$G$3),I418,C418)</f>
        <v>0</v>
      </c>
      <c r="O418" s="151">
        <f>+IF(OR($Q418=Parametres!$G$2,$Q418=Parametres!$G$3),J418,D418)</f>
        <v>-46</v>
      </c>
      <c r="P418" s="151">
        <f>+IF(OR($Q418=Parametres!$G$2,$Q418=Parametres!$G$3),K418,E418)</f>
        <v>-46</v>
      </c>
      <c r="Q418" s="150" t="str">
        <f t="shared" si="32"/>
        <v>10-Compte compteur</v>
      </c>
      <c r="R418" s="149" t="str">
        <f t="shared" si="33"/>
        <v>461D</v>
      </c>
      <c r="S418" s="150" t="str">
        <f t="shared" si="34"/>
        <v>_</v>
      </c>
      <c r="T418" s="152" t="str">
        <f>+VLOOKUP($L418,Data_Validation!$A:$D,1,0)</f>
        <v>461E@</v>
      </c>
      <c r="U418" s="152" t="str">
        <f>+VLOOKUP($L418,Data_Validation!$A:$D,3,0)</f>
        <v>service</v>
      </c>
      <c r="V418" s="152" t="str">
        <f>+VLOOKUP($L418,Data_Validation!$A:$D,4,0)</f>
        <v>M/O Garantie</v>
      </c>
      <c r="W418" s="152" t="str">
        <f>+VLOOKUP($L418,Data_Validation!$A:$E,5,0)</f>
        <v>nb</v>
      </c>
      <c r="X418" s="152">
        <f>+VLOOKUP($L418,Data_Validation!$A:$F,6,0)</f>
        <v>0</v>
      </c>
    </row>
    <row r="419" spans="1:24" ht="15.75" customHeight="1">
      <c r="A419" s="708" t="s">
        <v>1570</v>
      </c>
      <c r="B419" s="708" t="s">
        <v>745</v>
      </c>
      <c r="C419" s="710"/>
      <c r="D419" s="710"/>
      <c r="E419" s="710"/>
      <c r="F419" s="708" t="s">
        <v>4</v>
      </c>
      <c r="G419" s="708" t="s">
        <v>441</v>
      </c>
      <c r="H419" s="664" t="s">
        <v>3000</v>
      </c>
      <c r="I419" s="663">
        <v>0</v>
      </c>
      <c r="J419" s="663">
        <v>-2</v>
      </c>
      <c r="K419" s="663">
        <v>-2</v>
      </c>
      <c r="L419" s="149" t="str">
        <f t="shared" si="30"/>
        <v>461G@</v>
      </c>
      <c r="M419" s="150" t="str">
        <f t="shared" si="31"/>
        <v># DE VTE - M/O ENTRENTIEN BMW I</v>
      </c>
      <c r="N419" s="151">
        <f>+IF(OR($Q419=Parametres!$G$2,$Q419=Parametres!$G$3),I419,C419)</f>
        <v>0</v>
      </c>
      <c r="O419" s="151">
        <f>+IF(OR($Q419=Parametres!$G$2,$Q419=Parametres!$G$3),J419,D419)</f>
        <v>-2</v>
      </c>
      <c r="P419" s="151">
        <f>+IF(OR($Q419=Parametres!$G$2,$Q419=Parametres!$G$3),K419,E419)</f>
        <v>-2</v>
      </c>
      <c r="Q419" s="150" t="str">
        <f t="shared" si="32"/>
        <v>10-Compte compteur</v>
      </c>
      <c r="R419" s="149" t="str">
        <f t="shared" si="33"/>
        <v>461D</v>
      </c>
      <c r="S419" s="150" t="str">
        <f t="shared" si="34"/>
        <v>_</v>
      </c>
      <c r="T419" s="152" t="str">
        <f>+VLOOKUP($L419,Data_Validation!$A:$D,1,0)</f>
        <v>461G@</v>
      </c>
      <c r="U419" s="152" t="str">
        <f>+VLOOKUP($L419,Data_Validation!$A:$D,3,0)</f>
        <v>service</v>
      </c>
      <c r="V419" s="152" t="str">
        <f>+VLOOKUP($L419,Data_Validation!$A:$D,4,0)</f>
        <v>M/O Garantie</v>
      </c>
      <c r="W419" s="152" t="str">
        <f>+VLOOKUP($L419,Data_Validation!$A:$E,5,0)</f>
        <v>nb</v>
      </c>
      <c r="X419" s="152">
        <f>+VLOOKUP($L419,Data_Validation!$A:$F,6,0)</f>
        <v>0</v>
      </c>
    </row>
    <row r="420" spans="1:24" ht="15.75" customHeight="1">
      <c r="A420" s="708" t="s">
        <v>1571</v>
      </c>
      <c r="B420" s="708" t="s">
        <v>746</v>
      </c>
      <c r="C420" s="710"/>
      <c r="D420" s="710"/>
      <c r="E420" s="710"/>
      <c r="F420" s="708" t="s">
        <v>4</v>
      </c>
      <c r="G420" s="708" t="s">
        <v>1110</v>
      </c>
      <c r="H420" s="664" t="s">
        <v>3000</v>
      </c>
      <c r="I420" s="663">
        <v>0</v>
      </c>
      <c r="J420" s="663">
        <v>-42</v>
      </c>
      <c r="K420" s="663">
        <v>-42</v>
      </c>
      <c r="L420" s="149" t="str">
        <f t="shared" si="30"/>
        <v>461H@</v>
      </c>
      <c r="M420" s="150" t="str">
        <f t="shared" si="31"/>
        <v># DE VTE - M/O GARANTIE BMW</v>
      </c>
      <c r="N420" s="151">
        <f>+IF(OR($Q420=Parametres!$G$2,$Q420=Parametres!$G$3),I420,C420)</f>
        <v>0</v>
      </c>
      <c r="O420" s="151">
        <f>+IF(OR($Q420=Parametres!$G$2,$Q420=Parametres!$G$3),J420,D420)</f>
        <v>-42</v>
      </c>
      <c r="P420" s="151">
        <f>+IF(OR($Q420=Parametres!$G$2,$Q420=Parametres!$G$3),K420,E420)</f>
        <v>-42</v>
      </c>
      <c r="Q420" s="150" t="str">
        <f t="shared" si="32"/>
        <v>10-Compte compteur</v>
      </c>
      <c r="R420" s="149" t="str">
        <f t="shared" si="33"/>
        <v>461A</v>
      </c>
      <c r="S420" s="150" t="str">
        <f t="shared" si="34"/>
        <v>_</v>
      </c>
      <c r="T420" s="152" t="str">
        <f>+VLOOKUP($L420,Data_Validation!$A:$D,1,0)</f>
        <v>461H@</v>
      </c>
      <c r="U420" s="152" t="str">
        <f>+VLOOKUP($L420,Data_Validation!$A:$D,3,0)</f>
        <v>service</v>
      </c>
      <c r="V420" s="152" t="str">
        <f>+VLOOKUP($L420,Data_Validation!$A:$D,4,0)</f>
        <v>M/O Garantie</v>
      </c>
      <c r="W420" s="152" t="str">
        <f>+VLOOKUP($L420,Data_Validation!$A:$E,5,0)</f>
        <v>nb</v>
      </c>
      <c r="X420" s="152">
        <f>+VLOOKUP($L420,Data_Validation!$A:$F,6,0)</f>
        <v>0</v>
      </c>
    </row>
    <row r="421" spans="1:24" ht="15" customHeight="1">
      <c r="A421" s="708" t="s">
        <v>1572</v>
      </c>
      <c r="B421" s="708" t="s">
        <v>1573</v>
      </c>
      <c r="C421" s="709"/>
      <c r="D421" s="709"/>
      <c r="E421" s="709"/>
      <c r="F421" s="708" t="s">
        <v>4</v>
      </c>
      <c r="G421" s="708" t="s">
        <v>1139</v>
      </c>
      <c r="H421" s="709" t="s">
        <v>3000</v>
      </c>
      <c r="I421" s="710">
        <v>0</v>
      </c>
      <c r="J421" s="710">
        <v>-27</v>
      </c>
      <c r="K421" s="710">
        <v>-27</v>
      </c>
      <c r="L421" s="149" t="str">
        <f t="shared" si="30"/>
        <v>462A@</v>
      </c>
      <c r="M421" s="150" t="str">
        <f t="shared" si="31"/>
        <v># DE VTE - M/O INTERNE BMW AUTO</v>
      </c>
      <c r="N421" s="151">
        <f>+IF(OR($Q421=Parametres!$G$2,$Q421=Parametres!$G$3),I421,C421)</f>
        <v>0</v>
      </c>
      <c r="O421" s="151">
        <f>+IF(OR($Q421=Parametres!$G$2,$Q421=Parametres!$G$3),J421,D421)</f>
        <v>-27</v>
      </c>
      <c r="P421" s="151">
        <f>+IF(OR($Q421=Parametres!$G$2,$Q421=Parametres!$G$3),K421,E421)</f>
        <v>-27</v>
      </c>
      <c r="Q421" s="150" t="str">
        <f t="shared" si="32"/>
        <v>10-Compte compteur</v>
      </c>
      <c r="R421" s="149" t="str">
        <f t="shared" si="33"/>
        <v>462A</v>
      </c>
      <c r="S421" s="150" t="str">
        <f t="shared" si="34"/>
        <v>_</v>
      </c>
      <c r="T421" s="152" t="str">
        <f>+VLOOKUP($L421,Data_Validation!$A:$D,1,0)</f>
        <v>462A@</v>
      </c>
      <c r="U421" s="152" t="str">
        <f>+VLOOKUP($L421,Data_Validation!$A:$D,3,0)</f>
        <v>service</v>
      </c>
      <c r="V421" s="152" t="str">
        <f>+VLOOKUP($L421,Data_Validation!$A:$D,4,0)</f>
        <v>M/O Interne</v>
      </c>
      <c r="W421" s="152" t="str">
        <f>+VLOOKUP($L421,Data_Validation!$A:$E,5,0)</f>
        <v>nb</v>
      </c>
      <c r="X421" s="152">
        <f>+VLOOKUP($L421,Data_Validation!$A:$F,6,0)</f>
        <v>0</v>
      </c>
    </row>
    <row r="422" spans="1:24" ht="15" customHeight="1">
      <c r="A422" s="708" t="s">
        <v>1574</v>
      </c>
      <c r="B422" s="708" t="s">
        <v>747</v>
      </c>
      <c r="C422" s="710"/>
      <c r="D422" s="710"/>
      <c r="E422" s="710"/>
      <c r="F422" s="708" t="s">
        <v>4</v>
      </c>
      <c r="G422" s="708" t="s">
        <v>1139</v>
      </c>
      <c r="H422" s="664" t="s">
        <v>3000</v>
      </c>
      <c r="I422" s="663">
        <v>0</v>
      </c>
      <c r="J422" s="663">
        <v>-46</v>
      </c>
      <c r="K422" s="663">
        <v>-46</v>
      </c>
      <c r="L422" s="149" t="str">
        <f t="shared" si="30"/>
        <v>462B@</v>
      </c>
      <c r="M422" s="150" t="str">
        <f t="shared" si="31"/>
        <v># DE VTE - M/O INTERNE BMW CAMION</v>
      </c>
      <c r="N422" s="151">
        <f>+IF(OR($Q422=Parametres!$G$2,$Q422=Parametres!$G$3),I422,C422)</f>
        <v>0</v>
      </c>
      <c r="O422" s="497">
        <f>+IF(OR($Q422=Parametres!$G$2,$Q422=Parametres!$G$3),J422,D422)</f>
        <v>-46</v>
      </c>
      <c r="P422" s="151">
        <f>+IF(OR($Q422=Parametres!$G$2,$Q422=Parametres!$G$3),K422,E422)</f>
        <v>-46</v>
      </c>
      <c r="Q422" s="150" t="str">
        <f t="shared" si="32"/>
        <v>10-Compte compteur</v>
      </c>
      <c r="R422" s="149" t="str">
        <f t="shared" si="33"/>
        <v>462A</v>
      </c>
      <c r="S422" s="150" t="str">
        <f t="shared" si="34"/>
        <v>_</v>
      </c>
      <c r="T422" s="152" t="str">
        <f>+VLOOKUP($L422,Data_Validation!$A:$D,1,0)</f>
        <v>462B@</v>
      </c>
      <c r="U422" s="152" t="str">
        <f>+VLOOKUP($L422,Data_Validation!$A:$D,3,0)</f>
        <v>service</v>
      </c>
      <c r="V422" s="152" t="str">
        <f>+VLOOKUP($L422,Data_Validation!$A:$D,4,0)</f>
        <v>M/O Interne</v>
      </c>
      <c r="W422" s="152" t="str">
        <f>+VLOOKUP($L422,Data_Validation!$A:$E,5,0)</f>
        <v>nb</v>
      </c>
      <c r="X422" s="152">
        <f>+VLOOKUP($L422,Data_Validation!$A:$F,6,0)</f>
        <v>0</v>
      </c>
    </row>
    <row r="423" spans="1:24" ht="15" customHeight="1">
      <c r="A423" s="708" t="s">
        <v>1048</v>
      </c>
      <c r="B423" s="708" t="s">
        <v>748</v>
      </c>
      <c r="C423" s="710"/>
      <c r="D423" s="710"/>
      <c r="E423" s="710"/>
      <c r="F423" s="708" t="s">
        <v>4</v>
      </c>
      <c r="G423" s="708" t="s">
        <v>1139</v>
      </c>
      <c r="H423" s="664" t="s">
        <v>3000</v>
      </c>
      <c r="I423" s="663">
        <v>0</v>
      </c>
      <c r="J423" s="663">
        <v>-4</v>
      </c>
      <c r="K423" s="663">
        <v>-4</v>
      </c>
      <c r="L423" s="149" t="str">
        <f t="shared" si="30"/>
        <v>462D@</v>
      </c>
      <c r="M423" s="150" t="str">
        <f t="shared" si="31"/>
        <v># DE VTE - M/O INTERNE BMW I</v>
      </c>
      <c r="N423" s="151">
        <f>+IF(OR($Q423=Parametres!$G$2,$Q423=Parametres!$G$3),I423,C423)</f>
        <v>0</v>
      </c>
      <c r="O423" s="151">
        <f>+IF(OR($Q423=Parametres!$G$2,$Q423=Parametres!$G$3),J423,D423)</f>
        <v>-4</v>
      </c>
      <c r="P423" s="151">
        <f>+IF(OR($Q423=Parametres!$G$2,$Q423=Parametres!$G$3),K423,E423)</f>
        <v>-4</v>
      </c>
      <c r="Q423" s="150" t="str">
        <f t="shared" si="32"/>
        <v>10-Compte compteur</v>
      </c>
      <c r="R423" s="149" t="str">
        <f t="shared" si="33"/>
        <v>462A</v>
      </c>
      <c r="S423" s="150" t="str">
        <f t="shared" si="34"/>
        <v>_</v>
      </c>
      <c r="T423" s="152" t="str">
        <f>+VLOOKUP($L423,Data_Validation!$A:$D,1,0)</f>
        <v>462D@</v>
      </c>
      <c r="U423" s="152" t="str">
        <f>+VLOOKUP($L423,Data_Validation!$A:$D,3,0)</f>
        <v>service</v>
      </c>
      <c r="V423" s="152" t="str">
        <f>+VLOOKUP($L423,Data_Validation!$A:$D,4,0)</f>
        <v>M/O Interne</v>
      </c>
      <c r="W423" s="152" t="str">
        <f>+VLOOKUP($L423,Data_Validation!$A:$E,5,0)</f>
        <v>nb</v>
      </c>
      <c r="X423" s="152">
        <f>+VLOOKUP($L423,Data_Validation!$A:$F,6,0)</f>
        <v>0</v>
      </c>
    </row>
    <row r="424" spans="1:24" ht="15" customHeight="1">
      <c r="A424" s="708" t="s">
        <v>2185</v>
      </c>
      <c r="B424" s="708" t="s">
        <v>2186</v>
      </c>
      <c r="C424" s="710"/>
      <c r="D424" s="710"/>
      <c r="E424" s="710"/>
      <c r="F424" s="708" t="s">
        <v>4</v>
      </c>
      <c r="G424" s="708" t="s">
        <v>1139</v>
      </c>
      <c r="H424" s="664" t="s">
        <v>3000</v>
      </c>
      <c r="I424" s="663">
        <v>0</v>
      </c>
      <c r="J424" s="663">
        <v>-5</v>
      </c>
      <c r="K424" s="663">
        <v>-5</v>
      </c>
      <c r="L424" s="149" t="str">
        <f t="shared" si="30"/>
        <v>462M@</v>
      </c>
      <c r="M424" s="150" t="str">
        <f t="shared" si="31"/>
        <v># OF VTES -SUBLET INTERNE CAMION</v>
      </c>
      <c r="N424" s="151">
        <f>+IF(OR($Q424=Parametres!$G$2,$Q424=Parametres!$G$3),I424,C424)</f>
        <v>0</v>
      </c>
      <c r="O424" s="151">
        <f>+IF(OR($Q424=Parametres!$G$2,$Q424=Parametres!$G$3),J424,D424)</f>
        <v>-5</v>
      </c>
      <c r="P424" s="151">
        <f>+IF(OR($Q424=Parametres!$G$2,$Q424=Parametres!$G$3),K424,E424)</f>
        <v>-5</v>
      </c>
      <c r="Q424" s="150" t="str">
        <f t="shared" si="32"/>
        <v>10-Compte compteur</v>
      </c>
      <c r="R424" s="149" t="str">
        <f t="shared" si="33"/>
        <v>462A</v>
      </c>
      <c r="S424" s="150" t="str">
        <f t="shared" si="34"/>
        <v>_</v>
      </c>
      <c r="T424" s="152" t="str">
        <f>+VLOOKUP($L424,Data_Validation!$A:$D,1,0)</f>
        <v>462M@</v>
      </c>
      <c r="U424" s="152" t="str">
        <f>+VLOOKUP($L424,Data_Validation!$A:$D,3,0)</f>
        <v>Service</v>
      </c>
      <c r="V424" s="152" t="str">
        <f>+VLOOKUP($L424,Data_Validation!$A:$D,4,0)</f>
        <v>M/O Interne</v>
      </c>
      <c r="W424" s="152" t="str">
        <f>+VLOOKUP($L424,Data_Validation!$A:$E,5,0)</f>
        <v>NB</v>
      </c>
      <c r="X424" s="152">
        <f>+VLOOKUP($L424,Data_Validation!$A:$F,6,0)</f>
        <v>0</v>
      </c>
    </row>
    <row r="425" spans="1:24" ht="15.75" customHeight="1">
      <c r="A425" s="708" t="s">
        <v>1577</v>
      </c>
      <c r="B425" s="708" t="s">
        <v>749</v>
      </c>
      <c r="C425" s="709"/>
      <c r="D425" s="709"/>
      <c r="E425" s="709"/>
      <c r="F425" s="708" t="s">
        <v>4</v>
      </c>
      <c r="G425" s="708" t="s">
        <v>1143</v>
      </c>
      <c r="H425" s="709" t="s">
        <v>3000</v>
      </c>
      <c r="I425" s="710">
        <v>0</v>
      </c>
      <c r="J425" s="710">
        <v>-1</v>
      </c>
      <c r="K425" s="710">
        <v>-1</v>
      </c>
      <c r="L425" s="149" t="str">
        <f t="shared" si="30"/>
        <v>463B@</v>
      </c>
      <c r="M425" s="150" t="str">
        <f t="shared" si="31"/>
        <v># DE VTE - SOUS-TRAITANCE BMW CAMION</v>
      </c>
      <c r="N425" s="151">
        <f>+IF(OR($Q425=Parametres!$G$2,$Q425=Parametres!$G$3),I425,C425)</f>
        <v>0</v>
      </c>
      <c r="O425" s="151">
        <f>+IF(OR($Q425=Parametres!$G$2,$Q425=Parametres!$G$3),J425,D425)</f>
        <v>-1</v>
      </c>
      <c r="P425" s="151">
        <f>+IF(OR($Q425=Parametres!$G$2,$Q425=Parametres!$G$3),K425,E425)</f>
        <v>-1</v>
      </c>
      <c r="Q425" s="150" t="str">
        <f t="shared" si="32"/>
        <v>10-Compte compteur</v>
      </c>
      <c r="R425" s="149" t="str">
        <f t="shared" si="33"/>
        <v>463A</v>
      </c>
      <c r="S425" s="150" t="str">
        <f t="shared" si="34"/>
        <v>_</v>
      </c>
      <c r="T425" s="152" t="str">
        <f>+VLOOKUP($L425,Data_Validation!$A:$D,1,0)</f>
        <v>463B@</v>
      </c>
      <c r="U425" s="152" t="str">
        <f>+VLOOKUP($L425,Data_Validation!$A:$D,3,0)</f>
        <v>service</v>
      </c>
      <c r="V425" s="152" t="str">
        <f>+VLOOKUP($L425,Data_Validation!$A:$D,4,0)</f>
        <v>Sous-traitement</v>
      </c>
      <c r="W425" s="152" t="str">
        <f>+VLOOKUP($L425,Data_Validation!$A:$E,5,0)</f>
        <v>nb</v>
      </c>
      <c r="X425" s="152">
        <f>+VLOOKUP($L425,Data_Validation!$A:$F,6,0)</f>
        <v>0</v>
      </c>
    </row>
    <row r="426" spans="1:24" ht="15" customHeight="1">
      <c r="A426" s="708" t="s">
        <v>1580</v>
      </c>
      <c r="B426" s="708" t="s">
        <v>1581</v>
      </c>
      <c r="C426" s="710"/>
      <c r="D426" s="710"/>
      <c r="E426" s="710"/>
      <c r="F426" s="708" t="s">
        <v>4</v>
      </c>
      <c r="G426" s="708" t="s">
        <v>1120</v>
      </c>
      <c r="H426" s="664" t="s">
        <v>3000</v>
      </c>
      <c r="I426" s="664">
        <v>0</v>
      </c>
      <c r="J426" s="664">
        <v>-43</v>
      </c>
      <c r="K426" s="664">
        <v>-43</v>
      </c>
      <c r="L426" s="149" t="str">
        <f t="shared" si="30"/>
        <v>470A@</v>
      </c>
      <c r="M426" s="150" t="str">
        <f t="shared" si="31"/>
        <v># DE VTE - PCS BT CLIENT BMW AUTO</v>
      </c>
      <c r="N426" s="151">
        <f>+IF(OR($Q426=Parametres!$G$2,$Q426=Parametres!$G$3),I426,C426)</f>
        <v>0</v>
      </c>
      <c r="O426" s="151">
        <f>+IF(OR($Q426=Parametres!$G$2,$Q426=Parametres!$G$3),J426,D426)</f>
        <v>-43</v>
      </c>
      <c r="P426" s="151">
        <f>+IF(OR($Q426=Parametres!$G$2,$Q426=Parametres!$G$3),K426,E426)</f>
        <v>-43</v>
      </c>
      <c r="Q426" s="150" t="str">
        <f t="shared" si="32"/>
        <v>10-Compte compteur</v>
      </c>
      <c r="R426" s="149" t="str">
        <f t="shared" si="33"/>
        <v>470A</v>
      </c>
      <c r="S426" s="150" t="str">
        <f t="shared" si="34"/>
        <v>_</v>
      </c>
      <c r="T426" s="152" t="str">
        <f>+VLOOKUP($L426,Data_Validation!$A:$D,1,0)</f>
        <v>470A@</v>
      </c>
      <c r="U426" s="152" t="str">
        <f>+VLOOKUP($L426,Data_Validation!$A:$D,3,0)</f>
        <v>Pièces</v>
      </c>
      <c r="V426" s="152" t="str">
        <f>+VLOOKUP($L426,Data_Validation!$A:$D,4,0)</f>
        <v>Pièces Ro Clients</v>
      </c>
      <c r="W426" s="152" t="str">
        <f>+VLOOKUP($L426,Data_Validation!$A:$E,5,0)</f>
        <v>nb</v>
      </c>
      <c r="X426" s="152">
        <f>+VLOOKUP($L426,Data_Validation!$A:$F,6,0)</f>
        <v>0</v>
      </c>
    </row>
    <row r="427" spans="1:24" ht="15" customHeight="1">
      <c r="A427" s="708" t="s">
        <v>1582</v>
      </c>
      <c r="B427" s="708" t="s">
        <v>750</v>
      </c>
      <c r="C427" s="710"/>
      <c r="D427" s="710"/>
      <c r="E427" s="710"/>
      <c r="F427" s="708" t="s">
        <v>4</v>
      </c>
      <c r="G427" s="708" t="s">
        <v>1120</v>
      </c>
      <c r="H427" s="664" t="s">
        <v>3000</v>
      </c>
      <c r="I427" s="663">
        <v>0</v>
      </c>
      <c r="J427" s="663">
        <v>-48</v>
      </c>
      <c r="K427" s="663">
        <v>-48</v>
      </c>
      <c r="L427" s="149" t="str">
        <f t="shared" si="30"/>
        <v>470B@</v>
      </c>
      <c r="M427" s="150" t="str">
        <f t="shared" si="31"/>
        <v># DE VTE - PCS BT CLIENT BMW CAMION</v>
      </c>
      <c r="N427" s="151">
        <f>+IF(OR($Q427=Parametres!$G$2,$Q427=Parametres!$G$3),I427,C427)</f>
        <v>0</v>
      </c>
      <c r="O427" s="151">
        <f>+IF(OR($Q427=Parametres!$G$2,$Q427=Parametres!$G$3),J427,D427)</f>
        <v>-48</v>
      </c>
      <c r="P427" s="151">
        <f>+IF(OR($Q427=Parametres!$G$2,$Q427=Parametres!$G$3),K427,E427)</f>
        <v>-48</v>
      </c>
      <c r="Q427" s="150" t="str">
        <f t="shared" si="32"/>
        <v>10-Compte compteur</v>
      </c>
      <c r="R427" s="149" t="str">
        <f t="shared" si="33"/>
        <v>470A</v>
      </c>
      <c r="S427" s="150" t="str">
        <f t="shared" si="34"/>
        <v>_</v>
      </c>
      <c r="T427" s="152" t="str">
        <f>+VLOOKUP($L427,Data_Validation!$A:$D,1,0)</f>
        <v>470B@</v>
      </c>
      <c r="U427" s="152" t="str">
        <f>+VLOOKUP($L427,Data_Validation!$A:$D,3,0)</f>
        <v>Pièces</v>
      </c>
      <c r="V427" s="152" t="str">
        <f>+VLOOKUP($L427,Data_Validation!$A:$D,4,0)</f>
        <v>Pièces Ro Clients</v>
      </c>
      <c r="W427" s="152" t="str">
        <f>+VLOOKUP($L427,Data_Validation!$A:$E,5,0)</f>
        <v>nb</v>
      </c>
      <c r="X427" s="152">
        <f>+VLOOKUP($L427,Data_Validation!$A:$F,6,0)</f>
        <v>0</v>
      </c>
    </row>
    <row r="428" spans="1:24" ht="15" customHeight="1">
      <c r="A428" s="708" t="s">
        <v>1583</v>
      </c>
      <c r="B428" s="708" t="s">
        <v>1051</v>
      </c>
      <c r="C428" s="709"/>
      <c r="D428" s="709"/>
      <c r="E428" s="709"/>
      <c r="F428" s="708" t="s">
        <v>4</v>
      </c>
      <c r="G428" s="708" t="s">
        <v>1120</v>
      </c>
      <c r="H428" s="709" t="s">
        <v>3000</v>
      </c>
      <c r="I428" s="710">
        <v>0</v>
      </c>
      <c r="J428" s="710">
        <v>-5</v>
      </c>
      <c r="K428" s="710">
        <v>-5</v>
      </c>
      <c r="L428" s="149" t="str">
        <f t="shared" si="30"/>
        <v>470D@</v>
      </c>
      <c r="M428" s="150" t="str">
        <f t="shared" si="31"/>
        <v># DE VTE - PIECES BT CLIENT BMW I</v>
      </c>
      <c r="N428" s="151">
        <f>+IF(OR($Q428=Parametres!$G$2,$Q428=Parametres!$G$3),I428,C428)</f>
        <v>0</v>
      </c>
      <c r="O428" s="151">
        <f>+IF(OR($Q428=Parametres!$G$2,$Q428=Parametres!$G$3),J428,D428)</f>
        <v>-5</v>
      </c>
      <c r="P428" s="151">
        <f>+IF(OR($Q428=Parametres!$G$2,$Q428=Parametres!$G$3),K428,E428)</f>
        <v>-5</v>
      </c>
      <c r="Q428" s="150" t="str">
        <f t="shared" si="32"/>
        <v>10-Compte compteur</v>
      </c>
      <c r="R428" s="149" t="str">
        <f t="shared" si="33"/>
        <v>470A</v>
      </c>
      <c r="S428" s="150" t="str">
        <f t="shared" si="34"/>
        <v>_</v>
      </c>
      <c r="T428" s="152" t="str">
        <f>+VLOOKUP($L428,Data_Validation!$A:$D,1,0)</f>
        <v>470D@</v>
      </c>
      <c r="U428" s="152" t="str">
        <f>+VLOOKUP($L428,Data_Validation!$A:$D,3,0)</f>
        <v>Pièces</v>
      </c>
      <c r="V428" s="152" t="str">
        <f>+VLOOKUP($L428,Data_Validation!$A:$D,4,0)</f>
        <v>Pièces Ro Clients</v>
      </c>
      <c r="W428" s="152" t="str">
        <f>+VLOOKUP($L428,Data_Validation!$A:$E,5,0)</f>
        <v>nb</v>
      </c>
      <c r="X428" s="152">
        <f>+VLOOKUP($L428,Data_Validation!$A:$F,6,0)</f>
        <v>0</v>
      </c>
    </row>
    <row r="429" spans="1:24" ht="15" customHeight="1">
      <c r="A429" s="708" t="s">
        <v>1584</v>
      </c>
      <c r="B429" s="708" t="s">
        <v>1585</v>
      </c>
      <c r="C429" s="710"/>
      <c r="D429" s="710"/>
      <c r="E429" s="710"/>
      <c r="F429" s="708" t="s">
        <v>4</v>
      </c>
      <c r="G429" s="708" t="s">
        <v>1096</v>
      </c>
      <c r="H429" s="664" t="s">
        <v>3000</v>
      </c>
      <c r="I429" s="663">
        <v>0</v>
      </c>
      <c r="J429" s="663">
        <v>-29</v>
      </c>
      <c r="K429" s="663">
        <v>-29</v>
      </c>
      <c r="L429" s="149" t="str">
        <f t="shared" si="30"/>
        <v>472A@</v>
      </c>
      <c r="M429" s="150" t="str">
        <f t="shared" si="31"/>
        <v># DE VTE - PCS GARANTIE BMW AUTO</v>
      </c>
      <c r="N429" s="151">
        <f>+IF(OR($Q429=Parametres!$G$2,$Q429=Parametres!$G$3),I429,C429)</f>
        <v>0</v>
      </c>
      <c r="O429" s="151">
        <f>+IF(OR($Q429=Parametres!$G$2,$Q429=Parametres!$G$3),J429,D429)</f>
        <v>-29</v>
      </c>
      <c r="P429" s="151">
        <f>+IF(OR($Q429=Parametres!$G$2,$Q429=Parametres!$G$3),K429,E429)</f>
        <v>-29</v>
      </c>
      <c r="Q429" s="150" t="str">
        <f t="shared" si="32"/>
        <v>10-Compte compteur</v>
      </c>
      <c r="R429" s="149" t="str">
        <f t="shared" si="33"/>
        <v>472A</v>
      </c>
      <c r="S429" s="150" t="str">
        <f t="shared" si="34"/>
        <v>_</v>
      </c>
      <c r="T429" s="152" t="str">
        <f>+VLOOKUP($L429,Data_Validation!$A:$D,1,0)</f>
        <v>472A@</v>
      </c>
      <c r="U429" s="152" t="str">
        <f>+VLOOKUP($L429,Data_Validation!$A:$D,3,0)</f>
        <v>pièces</v>
      </c>
      <c r="V429" s="152" t="str">
        <f>+VLOOKUP($L429,Data_Validation!$A:$D,4,0)</f>
        <v>P/A Garantie</v>
      </c>
      <c r="W429" s="152" t="str">
        <f>+VLOOKUP($L429,Data_Validation!$A:$E,5,0)</f>
        <v>nb</v>
      </c>
      <c r="X429" s="152">
        <f>+VLOOKUP($L429,Data_Validation!$A:$F,6,0)</f>
        <v>0</v>
      </c>
    </row>
    <row r="430" spans="1:24" ht="15" customHeight="1">
      <c r="A430" s="708" t="s">
        <v>1586</v>
      </c>
      <c r="B430" s="708" t="s">
        <v>751</v>
      </c>
      <c r="C430" s="709"/>
      <c r="D430" s="709"/>
      <c r="E430" s="709"/>
      <c r="F430" s="708" t="s">
        <v>4</v>
      </c>
      <c r="G430" s="708" t="s">
        <v>1096</v>
      </c>
      <c r="H430" s="709" t="s">
        <v>3000</v>
      </c>
      <c r="I430" s="710">
        <v>0</v>
      </c>
      <c r="J430" s="710">
        <v>-28</v>
      </c>
      <c r="K430" s="710">
        <v>-28</v>
      </c>
      <c r="L430" s="149" t="str">
        <f t="shared" si="30"/>
        <v>472B@</v>
      </c>
      <c r="M430" s="150" t="str">
        <f t="shared" si="31"/>
        <v># DE VTE - PCS GARANTIE BMW CAMION</v>
      </c>
      <c r="N430" s="151">
        <f>+IF(OR($Q430=Parametres!$G$2,$Q430=Parametres!$G$3),I430,C430)</f>
        <v>0</v>
      </c>
      <c r="O430" s="151">
        <f>+IF(OR($Q430=Parametres!$G$2,$Q430=Parametres!$G$3),J430,D430)</f>
        <v>-28</v>
      </c>
      <c r="P430" s="151">
        <f>+IF(OR($Q430=Parametres!$G$2,$Q430=Parametres!$G$3),K430,E430)</f>
        <v>-28</v>
      </c>
      <c r="Q430" s="150" t="str">
        <f t="shared" si="32"/>
        <v>10-Compte compteur</v>
      </c>
      <c r="R430" s="149" t="str">
        <f t="shared" si="33"/>
        <v>472A</v>
      </c>
      <c r="S430" s="150" t="str">
        <f t="shared" si="34"/>
        <v>_</v>
      </c>
      <c r="T430" s="152" t="str">
        <f>+VLOOKUP($L430,Data_Validation!$A:$D,1,0)</f>
        <v>472B@</v>
      </c>
      <c r="U430" s="152" t="str">
        <f>+VLOOKUP($L430,Data_Validation!$A:$D,3,0)</f>
        <v>pièces</v>
      </c>
      <c r="V430" s="152" t="str">
        <f>+VLOOKUP($L430,Data_Validation!$A:$D,4,0)</f>
        <v>P/A Garantie</v>
      </c>
      <c r="W430" s="152" t="str">
        <f>+VLOOKUP($L430,Data_Validation!$A:$E,5,0)</f>
        <v>nb</v>
      </c>
      <c r="X430" s="152">
        <f>+VLOOKUP($L430,Data_Validation!$A:$F,6,0)</f>
        <v>0</v>
      </c>
    </row>
    <row r="431" spans="1:24" ht="15.75" customHeight="1">
      <c r="A431" s="708" t="s">
        <v>1587</v>
      </c>
      <c r="B431" s="708" t="s">
        <v>752</v>
      </c>
      <c r="C431" s="710"/>
      <c r="D431" s="710"/>
      <c r="E431" s="710"/>
      <c r="F431" s="708" t="s">
        <v>4</v>
      </c>
      <c r="G431" s="708" t="s">
        <v>434</v>
      </c>
      <c r="H431" s="709" t="s">
        <v>3000</v>
      </c>
      <c r="I431" s="709">
        <v>0</v>
      </c>
      <c r="J431" s="709">
        <v>-6</v>
      </c>
      <c r="K431" s="709">
        <v>-6</v>
      </c>
      <c r="L431" s="149" t="str">
        <f t="shared" si="30"/>
        <v>472D@</v>
      </c>
      <c r="M431" s="150" t="str">
        <f t="shared" si="31"/>
        <v># DE VTE - PCS ENTRETIEN BMW AUTO</v>
      </c>
      <c r="N431" s="151">
        <f>+IF(OR($Q431=Parametres!$G$2,$Q431=Parametres!$G$3),I431,C431)</f>
        <v>0</v>
      </c>
      <c r="O431" s="151">
        <f>+IF(OR($Q431=Parametres!$G$2,$Q431=Parametres!$G$3),J431,D431)</f>
        <v>-6</v>
      </c>
      <c r="P431" s="151">
        <f>+IF(OR($Q431=Parametres!$G$2,$Q431=Parametres!$G$3),K431,E431)</f>
        <v>-6</v>
      </c>
      <c r="Q431" s="150" t="str">
        <f t="shared" si="32"/>
        <v>10-Compte compteur</v>
      </c>
      <c r="R431" s="149" t="str">
        <f t="shared" si="33"/>
        <v>472D</v>
      </c>
      <c r="S431" s="150" t="str">
        <f t="shared" si="34"/>
        <v>_</v>
      </c>
      <c r="T431" s="152" t="str">
        <f>+VLOOKUP($L431,Data_Validation!$A:$D,1,0)</f>
        <v>472D@</v>
      </c>
      <c r="U431" s="152" t="str">
        <f>+VLOOKUP($L431,Data_Validation!$A:$D,3,0)</f>
        <v>pièces</v>
      </c>
      <c r="V431" s="152" t="str">
        <f>+VLOOKUP($L431,Data_Validation!$A:$D,4,0)</f>
        <v>P/A Garantie</v>
      </c>
      <c r="W431" s="152" t="str">
        <f>+VLOOKUP($L431,Data_Validation!$A:$E,5,0)</f>
        <v>nb</v>
      </c>
      <c r="X431" s="152">
        <f>+VLOOKUP($L431,Data_Validation!$A:$F,6,0)</f>
        <v>0</v>
      </c>
    </row>
    <row r="432" spans="1:24" ht="15" customHeight="1">
      <c r="A432" s="708" t="s">
        <v>1588</v>
      </c>
      <c r="B432" s="708" t="s">
        <v>753</v>
      </c>
      <c r="C432" s="710"/>
      <c r="D432" s="710"/>
      <c r="E432" s="710"/>
      <c r="F432" s="708" t="s">
        <v>4</v>
      </c>
      <c r="G432" s="708" t="s">
        <v>434</v>
      </c>
      <c r="H432" s="664" t="s">
        <v>3000</v>
      </c>
      <c r="I432" s="663">
        <v>0</v>
      </c>
      <c r="J432" s="663">
        <v>-43</v>
      </c>
      <c r="K432" s="663">
        <v>-43</v>
      </c>
      <c r="L432" s="149" t="str">
        <f t="shared" si="30"/>
        <v>472E@</v>
      </c>
      <c r="M432" s="150" t="str">
        <f t="shared" si="31"/>
        <v># DE VTE - PCS ENTRETIEN BMW CAMION</v>
      </c>
      <c r="N432" s="151">
        <f>+IF(OR($Q432=Parametres!$G$2,$Q432=Parametres!$G$3),I432,C432)</f>
        <v>0</v>
      </c>
      <c r="O432" s="151">
        <f>+IF(OR($Q432=Parametres!$G$2,$Q432=Parametres!$G$3),J432,D432)</f>
        <v>-43</v>
      </c>
      <c r="P432" s="151">
        <f>+IF(OR($Q432=Parametres!$G$2,$Q432=Parametres!$G$3),K432,E432)</f>
        <v>-43</v>
      </c>
      <c r="Q432" s="150" t="str">
        <f t="shared" si="32"/>
        <v>10-Compte compteur</v>
      </c>
      <c r="R432" s="149" t="str">
        <f t="shared" si="33"/>
        <v>472D</v>
      </c>
      <c r="S432" s="150" t="str">
        <f t="shared" si="34"/>
        <v>_</v>
      </c>
      <c r="T432" s="152" t="str">
        <f>+VLOOKUP($L432,Data_Validation!$A:$D,1,0)</f>
        <v>472E@</v>
      </c>
      <c r="U432" s="152" t="str">
        <f>+VLOOKUP($L432,Data_Validation!$A:$D,3,0)</f>
        <v>pièces</v>
      </c>
      <c r="V432" s="152" t="str">
        <f>+VLOOKUP($L432,Data_Validation!$A:$D,4,0)</f>
        <v>P/A Garantie</v>
      </c>
      <c r="W432" s="152" t="str">
        <f>+VLOOKUP($L432,Data_Validation!$A:$E,5,0)</f>
        <v>nb</v>
      </c>
      <c r="X432" s="152">
        <f>+VLOOKUP($L432,Data_Validation!$A:$F,6,0)</f>
        <v>0</v>
      </c>
    </row>
    <row r="433" spans="1:24" ht="15" customHeight="1">
      <c r="A433" s="708" t="s">
        <v>1589</v>
      </c>
      <c r="B433" s="708" t="s">
        <v>1052</v>
      </c>
      <c r="C433" s="710"/>
      <c r="D433" s="710"/>
      <c r="E433" s="710"/>
      <c r="F433" s="708" t="s">
        <v>4</v>
      </c>
      <c r="G433" s="708" t="s">
        <v>434</v>
      </c>
      <c r="H433" s="664" t="s">
        <v>3000</v>
      </c>
      <c r="I433" s="663">
        <v>0</v>
      </c>
      <c r="J433" s="663">
        <v>-2</v>
      </c>
      <c r="K433" s="663">
        <v>-2</v>
      </c>
      <c r="L433" s="149" t="str">
        <f t="shared" si="30"/>
        <v>472G@</v>
      </c>
      <c r="M433" s="150" t="str">
        <f t="shared" si="31"/>
        <v># DE VTE - PIECES ENTRETIEN BMW I</v>
      </c>
      <c r="N433" s="151">
        <f>+IF(OR($Q433=Parametres!$G$2,$Q433=Parametres!$G$3),I433,C433)</f>
        <v>0</v>
      </c>
      <c r="O433" s="151">
        <f>+IF(OR($Q433=Parametres!$G$2,$Q433=Parametres!$G$3),J433,D433)</f>
        <v>-2</v>
      </c>
      <c r="P433" s="151">
        <f>+IF(OR($Q433=Parametres!$G$2,$Q433=Parametres!$G$3),K433,E433)</f>
        <v>-2</v>
      </c>
      <c r="Q433" s="150" t="str">
        <f t="shared" si="32"/>
        <v>10-Compte compteur</v>
      </c>
      <c r="R433" s="149" t="str">
        <f t="shared" si="33"/>
        <v>472D</v>
      </c>
      <c r="S433" s="150" t="str">
        <f t="shared" si="34"/>
        <v>_</v>
      </c>
      <c r="T433" s="152" t="str">
        <f>+VLOOKUP($L433,Data_Validation!$A:$D,1,0)</f>
        <v>472G@</v>
      </c>
      <c r="U433" s="152" t="str">
        <f>+VLOOKUP($L433,Data_Validation!$A:$D,3,0)</f>
        <v>pièces</v>
      </c>
      <c r="V433" s="152" t="str">
        <f>+VLOOKUP($L433,Data_Validation!$A:$D,4,0)</f>
        <v>P/A Garantie</v>
      </c>
      <c r="W433" s="152" t="str">
        <f>+VLOOKUP($L433,Data_Validation!$A:$E,5,0)</f>
        <v>nb</v>
      </c>
      <c r="X433" s="152">
        <f>+VLOOKUP($L433,Data_Validation!$A:$F,6,0)</f>
        <v>0</v>
      </c>
    </row>
    <row r="434" spans="1:24" ht="15" customHeight="1">
      <c r="A434" s="708" t="s">
        <v>1053</v>
      </c>
      <c r="B434" s="708" t="s">
        <v>1054</v>
      </c>
      <c r="C434" s="709"/>
      <c r="D434" s="709"/>
      <c r="E434" s="709"/>
      <c r="F434" s="708" t="s">
        <v>4</v>
      </c>
      <c r="G434" s="708" t="s">
        <v>1096</v>
      </c>
      <c r="H434" s="709" t="s">
        <v>3000</v>
      </c>
      <c r="I434" s="710">
        <v>0</v>
      </c>
      <c r="J434" s="710">
        <v>-7</v>
      </c>
      <c r="K434" s="710">
        <v>-7</v>
      </c>
      <c r="L434" s="149" t="str">
        <f t="shared" si="30"/>
        <v>472H@</v>
      </c>
      <c r="M434" s="150" t="str">
        <f t="shared" si="31"/>
        <v># DE VTE - PIECES GARANTIE BMW I</v>
      </c>
      <c r="N434" s="151">
        <f>+IF(OR($Q434=Parametres!$G$2,$Q434=Parametres!$G$3),I434,C434)</f>
        <v>0</v>
      </c>
      <c r="O434" s="151">
        <f>+IF(OR($Q434=Parametres!$G$2,$Q434=Parametres!$G$3),J434,D434)</f>
        <v>-7</v>
      </c>
      <c r="P434" s="151">
        <f>+IF(OR($Q434=Parametres!$G$2,$Q434=Parametres!$G$3),K434,E434)</f>
        <v>-7</v>
      </c>
      <c r="Q434" s="150" t="str">
        <f t="shared" si="32"/>
        <v>10-Compte compteur</v>
      </c>
      <c r="R434" s="149" t="str">
        <f t="shared" si="33"/>
        <v>472A</v>
      </c>
      <c r="S434" s="150" t="str">
        <f t="shared" si="34"/>
        <v>_</v>
      </c>
      <c r="T434" s="152" t="str">
        <f>+VLOOKUP($L434,Data_Validation!$A:$D,1,0)</f>
        <v>472H@</v>
      </c>
      <c r="U434" s="152" t="str">
        <f>+VLOOKUP($L434,Data_Validation!$A:$D,3,0)</f>
        <v>pièces</v>
      </c>
      <c r="V434" s="152" t="str">
        <f>+VLOOKUP($L434,Data_Validation!$A:$D,4,0)</f>
        <v>P/A Garantie</v>
      </c>
      <c r="W434" s="152" t="str">
        <f>+VLOOKUP($L434,Data_Validation!$A:$E,5,0)</f>
        <v>nb</v>
      </c>
      <c r="X434" s="152">
        <f>+VLOOKUP($L434,Data_Validation!$A:$F,6,0)</f>
        <v>0</v>
      </c>
    </row>
    <row r="435" spans="1:24" ht="15.75" customHeight="1">
      <c r="A435" s="708" t="s">
        <v>1590</v>
      </c>
      <c r="B435" s="708" t="s">
        <v>1591</v>
      </c>
      <c r="C435" s="710"/>
      <c r="D435" s="710"/>
      <c r="E435" s="710"/>
      <c r="F435" s="708" t="s">
        <v>4</v>
      </c>
      <c r="G435" s="708" t="s">
        <v>1132</v>
      </c>
      <c r="H435" s="664" t="s">
        <v>3000</v>
      </c>
      <c r="I435" s="663">
        <v>0</v>
      </c>
      <c r="J435" s="663">
        <v>-14</v>
      </c>
      <c r="K435" s="663">
        <v>-14</v>
      </c>
      <c r="L435" s="149" t="str">
        <f t="shared" si="30"/>
        <v>473A@</v>
      </c>
      <c r="M435" s="150" t="str">
        <f t="shared" si="31"/>
        <v># DE VTE - PCS INTERNE BMW AUTO</v>
      </c>
      <c r="N435" s="151">
        <f>+IF(OR($Q435=Parametres!$G$2,$Q435=Parametres!$G$3),I435,C435)</f>
        <v>0</v>
      </c>
      <c r="O435" s="151">
        <f>+IF(OR($Q435=Parametres!$G$2,$Q435=Parametres!$G$3),J435,D435)</f>
        <v>-14</v>
      </c>
      <c r="P435" s="151">
        <f>+IF(OR($Q435=Parametres!$G$2,$Q435=Parametres!$G$3),K435,E435)</f>
        <v>-14</v>
      </c>
      <c r="Q435" s="150" t="str">
        <f t="shared" si="32"/>
        <v>10-Compte compteur</v>
      </c>
      <c r="R435" s="149" t="str">
        <f t="shared" si="33"/>
        <v>473A</v>
      </c>
      <c r="S435" s="150" t="str">
        <f t="shared" si="34"/>
        <v>_</v>
      </c>
      <c r="T435" s="152" t="str">
        <f>+VLOOKUP($L435,Data_Validation!$A:$D,1,0)</f>
        <v>473A@</v>
      </c>
      <c r="U435" s="152" t="str">
        <f>+VLOOKUP($L435,Data_Validation!$A:$D,3,0)</f>
        <v>pièces</v>
      </c>
      <c r="V435" s="152" t="str">
        <f>+VLOOKUP($L435,Data_Validation!$A:$D,4,0)</f>
        <v>Ventes Internes</v>
      </c>
      <c r="W435" s="152" t="str">
        <f>+VLOOKUP($L435,Data_Validation!$A:$E,5,0)</f>
        <v>nb</v>
      </c>
      <c r="X435" s="152">
        <f>+VLOOKUP($L435,Data_Validation!$A:$F,6,0)</f>
        <v>0</v>
      </c>
    </row>
    <row r="436" spans="1:24" ht="15" customHeight="1">
      <c r="A436" s="708" t="s">
        <v>1592</v>
      </c>
      <c r="B436" s="708" t="s">
        <v>754</v>
      </c>
      <c r="C436" s="709"/>
      <c r="D436" s="709"/>
      <c r="E436" s="709"/>
      <c r="F436" s="708" t="s">
        <v>4</v>
      </c>
      <c r="G436" s="708" t="s">
        <v>1132</v>
      </c>
      <c r="H436" s="709" t="s">
        <v>3000</v>
      </c>
      <c r="I436" s="710">
        <v>0</v>
      </c>
      <c r="J436" s="710">
        <v>-12</v>
      </c>
      <c r="K436" s="710">
        <v>-12</v>
      </c>
      <c r="L436" s="149" t="str">
        <f t="shared" si="30"/>
        <v>473B@</v>
      </c>
      <c r="M436" s="150" t="str">
        <f t="shared" si="31"/>
        <v># DE VTE - PCS INTERNE BMW CAMION</v>
      </c>
      <c r="N436" s="151">
        <f>+IF(OR($Q436=Parametres!$G$2,$Q436=Parametres!$G$3),I436,C436)</f>
        <v>0</v>
      </c>
      <c r="O436" s="151">
        <f>+IF(OR($Q436=Parametres!$G$2,$Q436=Parametres!$G$3),J436,D436)</f>
        <v>-12</v>
      </c>
      <c r="P436" s="151">
        <f>+IF(OR($Q436=Parametres!$G$2,$Q436=Parametres!$G$3),K436,E436)</f>
        <v>-12</v>
      </c>
      <c r="Q436" s="150" t="str">
        <f t="shared" si="32"/>
        <v>10-Compte compteur</v>
      </c>
      <c r="R436" s="149" t="str">
        <f t="shared" si="33"/>
        <v>473A</v>
      </c>
      <c r="S436" s="150" t="str">
        <f t="shared" si="34"/>
        <v>_</v>
      </c>
      <c r="T436" s="152" t="str">
        <f>+VLOOKUP($L436,Data_Validation!$A:$D,1,0)</f>
        <v>473B@</v>
      </c>
      <c r="U436" s="152" t="str">
        <f>+VLOOKUP($L436,Data_Validation!$A:$D,3,0)</f>
        <v>pièces</v>
      </c>
      <c r="V436" s="152" t="str">
        <f>+VLOOKUP($L436,Data_Validation!$A:$D,4,0)</f>
        <v>Ventes Internes</v>
      </c>
      <c r="W436" s="152" t="str">
        <f>+VLOOKUP($L436,Data_Validation!$A:$E,5,0)</f>
        <v>nb</v>
      </c>
      <c r="X436" s="152">
        <f>+VLOOKUP($L436,Data_Validation!$A:$F,6,0)</f>
        <v>0</v>
      </c>
    </row>
    <row r="437" spans="1:24" ht="15" customHeight="1">
      <c r="A437" s="708" t="s">
        <v>1055</v>
      </c>
      <c r="B437" s="708" t="s">
        <v>1056</v>
      </c>
      <c r="C437" s="710"/>
      <c r="D437" s="710"/>
      <c r="E437" s="710"/>
      <c r="F437" s="708" t="s">
        <v>4</v>
      </c>
      <c r="G437" s="708" t="s">
        <v>1132</v>
      </c>
      <c r="H437" s="664" t="s">
        <v>3000</v>
      </c>
      <c r="I437" s="663">
        <v>0</v>
      </c>
      <c r="J437" s="663">
        <v>-1</v>
      </c>
      <c r="K437" s="663">
        <v>-1</v>
      </c>
      <c r="L437" s="149" t="str">
        <f t="shared" si="30"/>
        <v>473D@</v>
      </c>
      <c r="M437" s="150" t="str">
        <f t="shared" si="31"/>
        <v># DE VTE - PIECES INTERNE BMW I</v>
      </c>
      <c r="N437" s="151">
        <f>+IF(OR($Q437=Parametres!$G$2,$Q437=Parametres!$G$3),I437,C437)</f>
        <v>0</v>
      </c>
      <c r="O437" s="151">
        <f>+IF(OR($Q437=Parametres!$G$2,$Q437=Parametres!$G$3),J437,D437)</f>
        <v>-1</v>
      </c>
      <c r="P437" s="151">
        <f>+IF(OR($Q437=Parametres!$G$2,$Q437=Parametres!$G$3),K437,E437)</f>
        <v>-1</v>
      </c>
      <c r="Q437" s="150" t="str">
        <f t="shared" si="32"/>
        <v>10-Compte compteur</v>
      </c>
      <c r="R437" s="149" t="str">
        <f t="shared" si="33"/>
        <v>473A</v>
      </c>
      <c r="S437" s="150" t="str">
        <f t="shared" si="34"/>
        <v>_</v>
      </c>
      <c r="T437" s="152" t="str">
        <f>+VLOOKUP($L437,Data_Validation!$A:$D,1,0)</f>
        <v>473D@</v>
      </c>
      <c r="U437" s="152" t="str">
        <f>+VLOOKUP($L437,Data_Validation!$A:$D,3,0)</f>
        <v>pièces</v>
      </c>
      <c r="V437" s="152" t="str">
        <f>+VLOOKUP($L437,Data_Validation!$A:$D,4,0)</f>
        <v>Ventes Internes</v>
      </c>
      <c r="W437" s="152" t="str">
        <f>+VLOOKUP($L437,Data_Validation!$A:$E,5,0)</f>
        <v>nb</v>
      </c>
      <c r="X437" s="152">
        <f>+VLOOKUP($L437,Data_Validation!$A:$F,6,0)</f>
        <v>0</v>
      </c>
    </row>
    <row r="438" spans="1:24" ht="15" customHeight="1">
      <c r="A438" s="708" t="s">
        <v>1593</v>
      </c>
      <c r="B438" s="708" t="s">
        <v>1594</v>
      </c>
      <c r="C438" s="709"/>
      <c r="D438" s="709"/>
      <c r="E438" s="709"/>
      <c r="F438" s="708" t="s">
        <v>4</v>
      </c>
      <c r="G438" s="708" t="s">
        <v>1118</v>
      </c>
      <c r="H438" s="709" t="s">
        <v>3000</v>
      </c>
      <c r="I438" s="710">
        <v>0</v>
      </c>
      <c r="J438" s="710">
        <v>-73</v>
      </c>
      <c r="K438" s="710">
        <v>-73</v>
      </c>
      <c r="L438" s="149" t="str">
        <f t="shared" si="30"/>
        <v>474A@</v>
      </c>
      <c r="M438" s="150" t="str">
        <f t="shared" si="31"/>
        <v># DE VTE - PCS COMPTOIR BMW AUTO</v>
      </c>
      <c r="N438" s="151">
        <f>+IF(OR($Q438=Parametres!$G$2,$Q438=Parametres!$G$3),I438,C438)</f>
        <v>0</v>
      </c>
      <c r="O438" s="151">
        <f>+IF(OR($Q438=Parametres!$G$2,$Q438=Parametres!$G$3),J438,D438)</f>
        <v>-73</v>
      </c>
      <c r="P438" s="151">
        <f>+IF(OR($Q438=Parametres!$G$2,$Q438=Parametres!$G$3),K438,E438)</f>
        <v>-73</v>
      </c>
      <c r="Q438" s="150" t="str">
        <f t="shared" si="32"/>
        <v>10-Compte compteur</v>
      </c>
      <c r="R438" s="149" t="str">
        <f t="shared" si="33"/>
        <v>474A</v>
      </c>
      <c r="S438" s="150" t="str">
        <f t="shared" si="34"/>
        <v>_</v>
      </c>
      <c r="T438" s="152" t="str">
        <f>+VLOOKUP($L438,Data_Validation!$A:$D,1,0)</f>
        <v>474A@</v>
      </c>
      <c r="U438" s="152" t="str">
        <f>+VLOOKUP($L438,Data_Validation!$A:$D,3,0)</f>
        <v>pièces</v>
      </c>
      <c r="V438" s="152" t="str">
        <f>+VLOOKUP($L438,Data_Validation!$A:$D,4,0)</f>
        <v>Ventes Détails</v>
      </c>
      <c r="W438" s="152" t="str">
        <f>+VLOOKUP($L438,Data_Validation!$A:$E,5,0)</f>
        <v>nb</v>
      </c>
      <c r="X438" s="152">
        <f>+VLOOKUP($L438,Data_Validation!$A:$F,6,0)</f>
        <v>0</v>
      </c>
    </row>
    <row r="439" spans="1:24" ht="15" customHeight="1">
      <c r="A439" s="708" t="s">
        <v>1595</v>
      </c>
      <c r="B439" s="708" t="s">
        <v>755</v>
      </c>
      <c r="C439" s="710"/>
      <c r="D439" s="710"/>
      <c r="E439" s="710"/>
      <c r="F439" s="708" t="s">
        <v>4</v>
      </c>
      <c r="G439" s="708" t="s">
        <v>1118</v>
      </c>
      <c r="H439" s="664" t="s">
        <v>3000</v>
      </c>
      <c r="I439" s="663">
        <v>0</v>
      </c>
      <c r="J439" s="663">
        <v>-7</v>
      </c>
      <c r="K439" s="663">
        <v>-7</v>
      </c>
      <c r="L439" s="149" t="str">
        <f t="shared" si="30"/>
        <v>474D@</v>
      </c>
      <c r="M439" s="150" t="str">
        <f t="shared" si="31"/>
        <v># DE VTE - PCS COMP. BMW LIFESTYLE</v>
      </c>
      <c r="N439" s="151">
        <f>+IF(OR($Q439=Parametres!$G$2,$Q439=Parametres!$G$3),I439,C439)</f>
        <v>0</v>
      </c>
      <c r="O439" s="497">
        <f>+IF(OR($Q439=Parametres!$G$2,$Q439=Parametres!$G$3),J439,D439)</f>
        <v>-7</v>
      </c>
      <c r="P439" s="151">
        <f>+IF(OR($Q439=Parametres!$G$2,$Q439=Parametres!$G$3),K439,E439)</f>
        <v>-7</v>
      </c>
      <c r="Q439" s="150" t="str">
        <f t="shared" si="32"/>
        <v>10-Compte compteur</v>
      </c>
      <c r="R439" s="149" t="str">
        <f t="shared" si="33"/>
        <v>474A</v>
      </c>
      <c r="S439" s="150" t="str">
        <f t="shared" si="34"/>
        <v>_</v>
      </c>
      <c r="T439" s="152" t="str">
        <f>+VLOOKUP($L439,Data_Validation!$A:$D,1,0)</f>
        <v>474D@</v>
      </c>
      <c r="U439" s="152" t="str">
        <f>+VLOOKUP($L439,Data_Validation!$A:$D,3,0)</f>
        <v>pièces</v>
      </c>
      <c r="V439" s="152" t="str">
        <f>+VLOOKUP($L439,Data_Validation!$A:$D,4,0)</f>
        <v>Ventes Détails</v>
      </c>
      <c r="W439" s="152" t="str">
        <f>+VLOOKUP($L439,Data_Validation!$A:$E,5,0)</f>
        <v>nb</v>
      </c>
      <c r="X439" s="152">
        <f>+VLOOKUP($L439,Data_Validation!$A:$F,6,0)</f>
        <v>0</v>
      </c>
    </row>
    <row r="440" spans="1:24" ht="15" customHeight="1">
      <c r="A440" s="708" t="s">
        <v>1596</v>
      </c>
      <c r="B440" s="708" t="s">
        <v>756</v>
      </c>
      <c r="C440" s="710"/>
      <c r="D440" s="710"/>
      <c r="E440" s="710"/>
      <c r="F440" s="708" t="s">
        <v>4</v>
      </c>
      <c r="G440" s="708" t="s">
        <v>1118</v>
      </c>
      <c r="H440" s="664" t="s">
        <v>3000</v>
      </c>
      <c r="I440" s="663">
        <v>0</v>
      </c>
      <c r="J440" s="663">
        <v>-15</v>
      </c>
      <c r="K440" s="663">
        <v>-15</v>
      </c>
      <c r="L440" s="149" t="str">
        <f t="shared" si="30"/>
        <v>474E@</v>
      </c>
      <c r="M440" s="150" t="str">
        <f t="shared" si="31"/>
        <v># DE VTE - PCS COMP. BMW ACCESS.</v>
      </c>
      <c r="N440" s="151">
        <f>+IF(OR($Q440=Parametres!$G$2,$Q440=Parametres!$G$3),I440,C440)</f>
        <v>0</v>
      </c>
      <c r="O440" s="151">
        <f>+IF(OR($Q440=Parametres!$G$2,$Q440=Parametres!$G$3),J440,D440)</f>
        <v>-15</v>
      </c>
      <c r="P440" s="151">
        <f>+IF(OR($Q440=Parametres!$G$2,$Q440=Parametres!$G$3),K440,E440)</f>
        <v>-15</v>
      </c>
      <c r="Q440" s="150" t="str">
        <f t="shared" si="32"/>
        <v>10-Compte compteur</v>
      </c>
      <c r="R440" s="149" t="str">
        <f t="shared" si="33"/>
        <v>474A</v>
      </c>
      <c r="S440" s="150" t="str">
        <f t="shared" si="34"/>
        <v>_</v>
      </c>
      <c r="T440" s="152" t="str">
        <f>+VLOOKUP($L440,Data_Validation!$A:$D,1,0)</f>
        <v>474E@</v>
      </c>
      <c r="U440" s="152" t="str">
        <f>+VLOOKUP($L440,Data_Validation!$A:$D,3,0)</f>
        <v>pièces</v>
      </c>
      <c r="V440" s="152" t="str">
        <f>+VLOOKUP($L440,Data_Validation!$A:$D,4,0)</f>
        <v>Ventes Détails</v>
      </c>
      <c r="W440" s="152" t="str">
        <f>+VLOOKUP($L440,Data_Validation!$A:$E,5,0)</f>
        <v>nb</v>
      </c>
      <c r="X440" s="152">
        <f>+VLOOKUP($L440,Data_Validation!$A:$F,6,0)</f>
        <v>0</v>
      </c>
    </row>
    <row r="441" spans="1:24" ht="15.75" customHeight="1">
      <c r="A441" s="708" t="s">
        <v>1597</v>
      </c>
      <c r="B441" s="708" t="s">
        <v>1598</v>
      </c>
      <c r="C441" s="709"/>
      <c r="D441" s="709"/>
      <c r="E441" s="709"/>
      <c r="F441" s="708" t="s">
        <v>4</v>
      </c>
      <c r="G441" s="708" t="s">
        <v>1167</v>
      </c>
      <c r="H441" s="709" t="s">
        <v>3000</v>
      </c>
      <c r="I441" s="710">
        <v>0</v>
      </c>
      <c r="J441" s="710">
        <v>-76</v>
      </c>
      <c r="K441" s="710">
        <v>-76</v>
      </c>
      <c r="L441" s="149" t="str">
        <f t="shared" si="30"/>
        <v>475A@</v>
      </c>
      <c r="M441" s="150" t="str">
        <f t="shared" si="31"/>
        <v># DE VTE - PIECES GROS BMW AUTO</v>
      </c>
      <c r="N441" s="151">
        <f>+IF(OR($Q441=Parametres!$G$2,$Q441=Parametres!$G$3),I441,C441)</f>
        <v>0</v>
      </c>
      <c r="O441" s="151">
        <f>+IF(OR($Q441=Parametres!$G$2,$Q441=Parametres!$G$3),J441,D441)</f>
        <v>-76</v>
      </c>
      <c r="P441" s="151">
        <f>+IF(OR($Q441=Parametres!$G$2,$Q441=Parametres!$G$3),K441,E441)</f>
        <v>-76</v>
      </c>
      <c r="Q441" s="150" t="str">
        <f t="shared" si="32"/>
        <v>10-Compte compteur</v>
      </c>
      <c r="R441" s="149" t="str">
        <f t="shared" si="33"/>
        <v>475A</v>
      </c>
      <c r="S441" s="150" t="str">
        <f t="shared" si="34"/>
        <v>_</v>
      </c>
      <c r="T441" s="152" t="str">
        <f>+VLOOKUP($L441,Data_Validation!$A:$D,1,0)</f>
        <v>475A@</v>
      </c>
      <c r="U441" s="152" t="str">
        <f>+VLOOKUP($L441,Data_Validation!$A:$D,3,0)</f>
        <v>pièces</v>
      </c>
      <c r="V441" s="152" t="str">
        <f>+VLOOKUP($L441,Data_Validation!$A:$D,4,0)</f>
        <v>Ventes de Gros</v>
      </c>
      <c r="W441" s="152" t="str">
        <f>+VLOOKUP($L441,Data_Validation!$A:$E,5,0)</f>
        <v>nb</v>
      </c>
      <c r="X441" s="152">
        <f>+VLOOKUP($L441,Data_Validation!$A:$F,6,0)</f>
        <v>0</v>
      </c>
    </row>
    <row r="442" spans="1:24" ht="15" customHeight="1">
      <c r="A442" s="708" t="s">
        <v>1600</v>
      </c>
      <c r="B442" s="708" t="s">
        <v>761</v>
      </c>
      <c r="C442" s="710"/>
      <c r="D442" s="710"/>
      <c r="E442" s="710"/>
      <c r="F442" s="708" t="s">
        <v>4</v>
      </c>
      <c r="G442" s="708" t="s">
        <v>417</v>
      </c>
      <c r="H442" s="664" t="s">
        <v>3000</v>
      </c>
      <c r="I442" s="663">
        <v>0</v>
      </c>
      <c r="J442" s="663">
        <v>-100</v>
      </c>
      <c r="K442" s="663">
        <v>-100</v>
      </c>
      <c r="L442" s="149" t="str">
        <f t="shared" si="30"/>
        <v>488A@</v>
      </c>
      <c r="M442" s="150" t="str">
        <f t="shared" si="31"/>
        <v># DE VTE - PNEUS</v>
      </c>
      <c r="N442" s="151">
        <f>+IF(OR($Q442=Parametres!$G$2,$Q442=Parametres!$G$3),I442,C442)</f>
        <v>0</v>
      </c>
      <c r="O442" s="151">
        <f>+IF(OR($Q442=Parametres!$G$2,$Q442=Parametres!$G$3),J442,D442)</f>
        <v>-100</v>
      </c>
      <c r="P442" s="151">
        <f>+IF(OR($Q442=Parametres!$G$2,$Q442=Parametres!$G$3),K442,E442)</f>
        <v>-100</v>
      </c>
      <c r="Q442" s="150" t="str">
        <f t="shared" si="32"/>
        <v>10-Compte compteur</v>
      </c>
      <c r="R442" s="149" t="str">
        <f t="shared" si="33"/>
        <v>488A</v>
      </c>
      <c r="S442" s="150" t="str">
        <f t="shared" si="34"/>
        <v>_</v>
      </c>
      <c r="T442" s="152" t="str">
        <f>+VLOOKUP($L442,Data_Validation!$A:$D,1,0)</f>
        <v>488A@</v>
      </c>
      <c r="U442" s="152" t="str">
        <f>+VLOOKUP($L442,Data_Validation!$A:$D,3,0)</f>
        <v>pièces</v>
      </c>
      <c r="V442" s="152" t="str">
        <f>+VLOOKUP($L442,Data_Validation!$A:$D,4,0)</f>
        <v>Ventes Pneus</v>
      </c>
      <c r="W442" s="152" t="str">
        <f>+VLOOKUP($L442,Data_Validation!$A:$E,5,0)</f>
        <v>nb</v>
      </c>
      <c r="X442" s="152">
        <f>+VLOOKUP($L442,Data_Validation!$A:$F,6,0)</f>
        <v>0</v>
      </c>
    </row>
    <row r="443" spans="1:24" ht="15" customHeight="1">
      <c r="A443" s="708" t="s">
        <v>1601</v>
      </c>
      <c r="B443" s="708" t="s">
        <v>762</v>
      </c>
      <c r="C443" s="710"/>
      <c r="D443" s="710"/>
      <c r="E443" s="710"/>
      <c r="F443" s="708" t="s">
        <v>4</v>
      </c>
      <c r="G443" s="708" t="s">
        <v>445</v>
      </c>
      <c r="H443" s="664" t="s">
        <v>3000</v>
      </c>
      <c r="I443" s="663">
        <v>0</v>
      </c>
      <c r="J443" s="663">
        <v>-37</v>
      </c>
      <c r="K443" s="663">
        <v>-37</v>
      </c>
      <c r="L443" s="149" t="str">
        <f t="shared" si="30"/>
        <v>489A@</v>
      </c>
      <c r="M443" s="150" t="str">
        <f t="shared" si="31"/>
        <v># DE VTE - HUILES &amp; GRAISSES</v>
      </c>
      <c r="N443" s="151">
        <f>+IF(OR($Q443=Parametres!$G$2,$Q443=Parametres!$G$3),I443,C443)</f>
        <v>0</v>
      </c>
      <c r="O443" s="151">
        <f>+IF(OR($Q443=Parametres!$G$2,$Q443=Parametres!$G$3),J443,D443)</f>
        <v>-37</v>
      </c>
      <c r="P443" s="151">
        <f>+IF(OR($Q443=Parametres!$G$2,$Q443=Parametres!$G$3),K443,E443)</f>
        <v>-37</v>
      </c>
      <c r="Q443" s="150" t="str">
        <f t="shared" si="32"/>
        <v>10-Compte compteur</v>
      </c>
      <c r="R443" s="149" t="str">
        <f t="shared" si="33"/>
        <v>489A</v>
      </c>
      <c r="S443" s="150" t="str">
        <f t="shared" si="34"/>
        <v>_</v>
      </c>
      <c r="T443" s="152" t="str">
        <f>+VLOOKUP($L443,Data_Validation!$A:$D,1,0)</f>
        <v>489A@</v>
      </c>
      <c r="U443" s="152" t="str">
        <f>+VLOOKUP($L443,Data_Validation!$A:$D,3,0)</f>
        <v>pièces</v>
      </c>
      <c r="V443" s="152" t="str">
        <f>+VLOOKUP($L443,Data_Validation!$A:$D,4,0)</f>
        <v>Huiles et Graisse</v>
      </c>
      <c r="W443" s="152" t="str">
        <f>+VLOOKUP($L443,Data_Validation!$A:$E,5,0)</f>
        <v>nb</v>
      </c>
      <c r="X443" s="152">
        <f>+VLOOKUP($L443,Data_Validation!$A:$F,6,0)</f>
        <v>0</v>
      </c>
    </row>
    <row r="444" spans="1:24" ht="15" customHeight="1">
      <c r="A444" s="708" t="s">
        <v>1602</v>
      </c>
      <c r="B444" s="708" t="s">
        <v>1603</v>
      </c>
      <c r="C444" s="710"/>
      <c r="D444" s="710"/>
      <c r="E444" s="710"/>
      <c r="F444" s="708" t="s">
        <v>4</v>
      </c>
      <c r="G444" s="708" t="s">
        <v>445</v>
      </c>
      <c r="H444" s="664" t="s">
        <v>3000</v>
      </c>
      <c r="I444" s="663">
        <v>0</v>
      </c>
      <c r="J444" s="663">
        <v>-76</v>
      </c>
      <c r="K444" s="663">
        <v>-76</v>
      </c>
      <c r="L444" s="149" t="str">
        <f t="shared" si="30"/>
        <v>489B@</v>
      </c>
      <c r="M444" s="150" t="str">
        <f t="shared" si="31"/>
        <v># DE VTE - HUILE &amp; GRAISSE</v>
      </c>
      <c r="N444" s="151">
        <f>+IF(OR($Q444=Parametres!$G$2,$Q444=Parametres!$G$3),I444,C444)</f>
        <v>0</v>
      </c>
      <c r="O444" s="151">
        <f>+IF(OR($Q444=Parametres!$G$2,$Q444=Parametres!$G$3),J444,D444)</f>
        <v>-76</v>
      </c>
      <c r="P444" s="151">
        <f>+IF(OR($Q444=Parametres!$G$2,$Q444=Parametres!$G$3),K444,E444)</f>
        <v>-76</v>
      </c>
      <c r="Q444" s="150" t="str">
        <f t="shared" si="32"/>
        <v>10-Compte compteur</v>
      </c>
      <c r="R444" s="149" t="str">
        <f t="shared" si="33"/>
        <v>489A</v>
      </c>
      <c r="S444" s="150" t="str">
        <f t="shared" si="34"/>
        <v>_</v>
      </c>
      <c r="T444" s="152" t="str">
        <f>+VLOOKUP($L444,Data_Validation!$A:$D,1,0)</f>
        <v>489B@</v>
      </c>
      <c r="U444" s="152" t="str">
        <f>+VLOOKUP($L444,Data_Validation!$A:$D,3,0)</f>
        <v>pièces</v>
      </c>
      <c r="V444" s="152" t="str">
        <f>+VLOOKUP($L444,Data_Validation!$A:$D,4,0)</f>
        <v>Huiles et Graisse</v>
      </c>
      <c r="W444" s="152" t="str">
        <f>+VLOOKUP($L444,Data_Validation!$A:$E,5,0)</f>
        <v>nb</v>
      </c>
      <c r="X444" s="152">
        <f>+VLOOKUP($L444,Data_Validation!$A:$F,6,0)</f>
        <v>0</v>
      </c>
    </row>
    <row r="445" spans="1:24" ht="15" customHeight="1">
      <c r="A445" s="708"/>
      <c r="B445" s="708"/>
      <c r="C445" s="709"/>
      <c r="D445" s="709"/>
      <c r="E445" s="709"/>
      <c r="F445" s="708"/>
      <c r="G445" s="708"/>
      <c r="H445" s="709"/>
      <c r="I445" s="710"/>
      <c r="J445" s="710"/>
      <c r="K445" s="710"/>
      <c r="L445" s="149">
        <f t="shared" si="30"/>
        <v>0</v>
      </c>
      <c r="M445" s="150">
        <f t="shared" si="31"/>
        <v>0</v>
      </c>
      <c r="N445" s="151">
        <f>+IF(OR($Q445=Parametres!$G$2,$Q445=Parametres!$G$3),I445,C445)</f>
        <v>0</v>
      </c>
      <c r="O445" s="151">
        <f>+IF(OR($Q445=Parametres!$G$2,$Q445=Parametres!$G$3),J445,D445)</f>
        <v>0</v>
      </c>
      <c r="P445" s="151">
        <f>+IF(OR($Q445=Parametres!$G$2,$Q445=Parametres!$G$3),K445,E445)</f>
        <v>0</v>
      </c>
      <c r="Q445" s="150">
        <f t="shared" si="32"/>
        <v>0</v>
      </c>
      <c r="R445" s="149">
        <f t="shared" si="33"/>
        <v>0</v>
      </c>
      <c r="S445" s="150">
        <f t="shared" si="34"/>
        <v>0</v>
      </c>
      <c r="T445" s="152" t="e">
        <f>+VLOOKUP($L445,Data_Validation!$A:$D,1,0)</f>
        <v>#N/A</v>
      </c>
      <c r="U445" s="152" t="e">
        <f>+VLOOKUP($L445,Data_Validation!$A:$D,3,0)</f>
        <v>#N/A</v>
      </c>
      <c r="V445" s="152" t="e">
        <f>+VLOOKUP($L445,Data_Validation!$A:$D,4,0)</f>
        <v>#N/A</v>
      </c>
      <c r="W445" s="152" t="e">
        <f>+VLOOKUP($L445,Data_Validation!$A:$E,5,0)</f>
        <v>#N/A</v>
      </c>
      <c r="X445" s="152" t="e">
        <f>+VLOOKUP($L445,Data_Validation!$A:$F,6,0)</f>
        <v>#N/A</v>
      </c>
    </row>
    <row r="446" spans="1:24" ht="15.75" customHeight="1">
      <c r="A446" s="708"/>
      <c r="B446" s="708"/>
      <c r="C446" s="710"/>
      <c r="D446" s="710"/>
      <c r="E446" s="710"/>
      <c r="F446" s="708"/>
      <c r="G446" s="708"/>
      <c r="H446" s="664"/>
      <c r="I446" s="663"/>
      <c r="J446" s="663"/>
      <c r="K446" s="663"/>
      <c r="L446" s="149">
        <f t="shared" si="30"/>
        <v>0</v>
      </c>
      <c r="M446" s="150">
        <f t="shared" si="31"/>
        <v>0</v>
      </c>
      <c r="N446" s="151">
        <f>+IF(OR($Q446=Parametres!$G$2,$Q446=Parametres!$G$3),I446,C446)</f>
        <v>0</v>
      </c>
      <c r="O446" s="151">
        <f>+IF(OR($Q446=Parametres!$G$2,$Q446=Parametres!$G$3),J446,D446)</f>
        <v>0</v>
      </c>
      <c r="P446" s="151">
        <f>+IF(OR($Q446=Parametres!$G$2,$Q446=Parametres!$G$3),K446,E446)</f>
        <v>0</v>
      </c>
      <c r="Q446" s="150">
        <f t="shared" si="32"/>
        <v>0</v>
      </c>
      <c r="R446" s="149">
        <f t="shared" si="33"/>
        <v>0</v>
      </c>
      <c r="S446" s="150">
        <f t="shared" si="34"/>
        <v>0</v>
      </c>
      <c r="T446" s="152" t="e">
        <f>+VLOOKUP($L446,Data_Validation!$A:$D,1,0)</f>
        <v>#N/A</v>
      </c>
      <c r="U446" s="152" t="e">
        <f>+VLOOKUP($L446,Data_Validation!$A:$D,3,0)</f>
        <v>#N/A</v>
      </c>
      <c r="V446" s="152" t="e">
        <f>+VLOOKUP($L446,Data_Validation!$A:$D,4,0)</f>
        <v>#N/A</v>
      </c>
      <c r="W446" s="152" t="e">
        <f>+VLOOKUP($L446,Data_Validation!$A:$E,5,0)</f>
        <v>#N/A</v>
      </c>
      <c r="X446" s="152" t="e">
        <f>+VLOOKUP($L446,Data_Validation!$A:$F,6,0)</f>
        <v>#N/A</v>
      </c>
    </row>
    <row r="447" spans="1:24" ht="15.75" customHeight="1">
      <c r="A447" s="708"/>
      <c r="B447" s="708"/>
      <c r="C447" s="710"/>
      <c r="D447" s="710"/>
      <c r="E447" s="710"/>
      <c r="F447" s="708"/>
      <c r="G447" s="708"/>
      <c r="H447" s="664"/>
      <c r="I447" s="664"/>
      <c r="J447" s="664"/>
      <c r="K447" s="664"/>
      <c r="L447" s="149">
        <f t="shared" si="30"/>
        <v>0</v>
      </c>
      <c r="M447" s="150">
        <f t="shared" si="31"/>
        <v>0</v>
      </c>
      <c r="N447" s="151">
        <f>+IF(OR($Q447=Parametres!$G$2,$Q447=Parametres!$G$3),I447,C447)</f>
        <v>0</v>
      </c>
      <c r="O447" s="151">
        <f>+IF(OR($Q447=Parametres!$G$2,$Q447=Parametres!$G$3),J447,D447)</f>
        <v>0</v>
      </c>
      <c r="P447" s="151">
        <f>+IF(OR($Q447=Parametres!$G$2,$Q447=Parametres!$G$3),K447,E447)</f>
        <v>0</v>
      </c>
      <c r="Q447" s="150">
        <f t="shared" si="32"/>
        <v>0</v>
      </c>
      <c r="R447" s="149">
        <f t="shared" si="33"/>
        <v>0</v>
      </c>
      <c r="S447" s="150">
        <f t="shared" si="34"/>
        <v>0</v>
      </c>
      <c r="T447" s="152" t="e">
        <f>+VLOOKUP($L447,Data_Validation!$A:$D,1,0)</f>
        <v>#N/A</v>
      </c>
      <c r="U447" s="152" t="e">
        <f>+VLOOKUP($L447,Data_Validation!$A:$D,3,0)</f>
        <v>#N/A</v>
      </c>
      <c r="V447" s="152" t="e">
        <f>+VLOOKUP($L447,Data_Validation!$A:$D,4,0)</f>
        <v>#N/A</v>
      </c>
      <c r="W447" s="152" t="e">
        <f>+VLOOKUP($L447,Data_Validation!$A:$E,5,0)</f>
        <v>#N/A</v>
      </c>
      <c r="X447" s="152" t="e">
        <f>+VLOOKUP($L447,Data_Validation!$A:$F,6,0)</f>
        <v>#N/A</v>
      </c>
    </row>
    <row r="448" spans="1:24" ht="15" customHeight="1">
      <c r="A448" s="708"/>
      <c r="B448" s="708"/>
      <c r="C448" s="710"/>
      <c r="D448" s="710"/>
      <c r="E448" s="710"/>
      <c r="F448" s="708"/>
      <c r="G448" s="708"/>
      <c r="H448" s="664"/>
      <c r="I448" s="663"/>
      <c r="J448" s="663"/>
      <c r="K448" s="663"/>
      <c r="L448" s="149">
        <f t="shared" si="30"/>
        <v>0</v>
      </c>
      <c r="M448" s="150">
        <f t="shared" si="31"/>
        <v>0</v>
      </c>
      <c r="N448" s="151">
        <f>+IF(OR($Q448=Parametres!$G$2,$Q448=Parametres!$G$3),I448,C448)</f>
        <v>0</v>
      </c>
      <c r="O448" s="151">
        <f>+IF(OR($Q448=Parametres!$G$2,$Q448=Parametres!$G$3),J448,D448)</f>
        <v>0</v>
      </c>
      <c r="P448" s="151">
        <f>+IF(OR($Q448=Parametres!$G$2,$Q448=Parametres!$G$3),K448,E448)</f>
        <v>0</v>
      </c>
      <c r="Q448" s="150">
        <f t="shared" si="32"/>
        <v>0</v>
      </c>
      <c r="R448" s="149">
        <f t="shared" si="33"/>
        <v>0</v>
      </c>
      <c r="S448" s="150">
        <f t="shared" si="34"/>
        <v>0</v>
      </c>
      <c r="T448" s="152" t="e">
        <f>+VLOOKUP($L448,Data_Validation!$A:$D,1,0)</f>
        <v>#N/A</v>
      </c>
      <c r="U448" s="152" t="e">
        <f>+VLOOKUP($L448,Data_Validation!$A:$D,3,0)</f>
        <v>#N/A</v>
      </c>
      <c r="V448" s="152" t="e">
        <f>+VLOOKUP($L448,Data_Validation!$A:$D,4,0)</f>
        <v>#N/A</v>
      </c>
      <c r="W448" s="152" t="e">
        <f>+VLOOKUP($L448,Data_Validation!$A:$E,5,0)</f>
        <v>#N/A</v>
      </c>
      <c r="X448" s="152" t="e">
        <f>+VLOOKUP($L448,Data_Validation!$A:$F,6,0)</f>
        <v>#N/A</v>
      </c>
    </row>
    <row r="449" spans="1:24" ht="15" customHeight="1">
      <c r="A449" s="708"/>
      <c r="B449" s="708"/>
      <c r="C449" s="710"/>
      <c r="D449" s="710"/>
      <c r="E449" s="710"/>
      <c r="F449" s="708"/>
      <c r="G449" s="708"/>
      <c r="H449" s="664"/>
      <c r="I449" s="663"/>
      <c r="J449" s="663"/>
      <c r="K449" s="663"/>
      <c r="L449" s="149">
        <f t="shared" si="30"/>
        <v>0</v>
      </c>
      <c r="M449" s="150">
        <f t="shared" si="31"/>
        <v>0</v>
      </c>
      <c r="N449" s="151">
        <f>+IF(OR($Q449=Parametres!$G$2,$Q449=Parametres!$G$3),I449,C449)</f>
        <v>0</v>
      </c>
      <c r="O449" s="151">
        <f>+IF(OR($Q449=Parametres!$G$2,$Q449=Parametres!$G$3),J449,D449)</f>
        <v>0</v>
      </c>
      <c r="P449" s="151">
        <f>+IF(OR($Q449=Parametres!$G$2,$Q449=Parametres!$G$3),K449,E449)</f>
        <v>0</v>
      </c>
      <c r="Q449" s="150">
        <f t="shared" si="32"/>
        <v>0</v>
      </c>
      <c r="R449" s="149">
        <f t="shared" si="33"/>
        <v>0</v>
      </c>
      <c r="S449" s="150">
        <f t="shared" si="34"/>
        <v>0</v>
      </c>
      <c r="T449" s="152" t="e">
        <f>+VLOOKUP($L449,Data_Validation!$A:$D,1,0)</f>
        <v>#N/A</v>
      </c>
      <c r="U449" s="152" t="e">
        <f>+VLOOKUP($L449,Data_Validation!$A:$D,3,0)</f>
        <v>#N/A</v>
      </c>
      <c r="V449" s="152" t="e">
        <f>+VLOOKUP($L449,Data_Validation!$A:$D,4,0)</f>
        <v>#N/A</v>
      </c>
      <c r="W449" s="152" t="e">
        <f>+VLOOKUP($L449,Data_Validation!$A:$E,5,0)</f>
        <v>#N/A</v>
      </c>
      <c r="X449" s="152" t="e">
        <f>+VLOOKUP($L449,Data_Validation!$A:$F,6,0)</f>
        <v>#N/A</v>
      </c>
    </row>
    <row r="450" spans="1:24" ht="15" customHeight="1">
      <c r="A450" s="708"/>
      <c r="B450" s="708"/>
      <c r="C450" s="710"/>
      <c r="D450" s="710"/>
      <c r="E450" s="710"/>
      <c r="F450" s="708"/>
      <c r="G450" s="708"/>
      <c r="H450" s="664"/>
      <c r="I450" s="663"/>
      <c r="J450" s="663"/>
      <c r="K450" s="663"/>
      <c r="L450" s="149">
        <f t="shared" ref="L450:L513" si="35">+B450</f>
        <v>0</v>
      </c>
      <c r="M450" s="150">
        <f t="shared" ref="M450:M513" si="36">+A450</f>
        <v>0</v>
      </c>
      <c r="N450" s="151">
        <f>+IF(OR($Q450=Parametres!$G$2,$Q450=Parametres!$G$3),I450,C450)</f>
        <v>0</v>
      </c>
      <c r="O450" s="151">
        <f>+IF(OR($Q450=Parametres!$G$2,$Q450=Parametres!$G$3),J450,D450)</f>
        <v>0</v>
      </c>
      <c r="P450" s="151">
        <f>+IF(OR($Q450=Parametres!$G$2,$Q450=Parametres!$G$3),K450,E450)</f>
        <v>0</v>
      </c>
      <c r="Q450" s="150">
        <f t="shared" ref="Q450:Q513" si="37">+F450</f>
        <v>0</v>
      </c>
      <c r="R450" s="149">
        <f t="shared" ref="R450:R513" si="38">+G450</f>
        <v>0</v>
      </c>
      <c r="S450" s="150">
        <f t="shared" ref="S450:S513" si="39">+H450</f>
        <v>0</v>
      </c>
      <c r="T450" s="152" t="e">
        <f>+VLOOKUP($L450,Data_Validation!$A:$D,1,0)</f>
        <v>#N/A</v>
      </c>
      <c r="U450" s="152" t="e">
        <f>+VLOOKUP($L450,Data_Validation!$A:$D,3,0)</f>
        <v>#N/A</v>
      </c>
      <c r="V450" s="152" t="e">
        <f>+VLOOKUP($L450,Data_Validation!$A:$D,4,0)</f>
        <v>#N/A</v>
      </c>
      <c r="W450" s="152" t="e">
        <f>+VLOOKUP($L450,Data_Validation!$A:$E,5,0)</f>
        <v>#N/A</v>
      </c>
      <c r="X450" s="152" t="e">
        <f>+VLOOKUP($L450,Data_Validation!$A:$F,6,0)</f>
        <v>#N/A</v>
      </c>
    </row>
    <row r="451" spans="1:24" ht="15" customHeight="1">
      <c r="A451" s="708"/>
      <c r="B451" s="708"/>
      <c r="C451" s="710"/>
      <c r="D451" s="710"/>
      <c r="E451" s="710"/>
      <c r="F451" s="708"/>
      <c r="G451" s="708"/>
      <c r="H451" s="664"/>
      <c r="I451" s="663"/>
      <c r="J451" s="663"/>
      <c r="K451" s="663"/>
      <c r="L451" s="149">
        <f t="shared" si="35"/>
        <v>0</v>
      </c>
      <c r="M451" s="150">
        <f t="shared" si="36"/>
        <v>0</v>
      </c>
      <c r="N451" s="151">
        <f>+IF(OR($Q451=Parametres!$G$2,$Q451=Parametres!$G$3),I451,C451)</f>
        <v>0</v>
      </c>
      <c r="O451" s="151">
        <f>+IF(OR($Q451=Parametres!$G$2,$Q451=Parametres!$G$3),J451,D451)</f>
        <v>0</v>
      </c>
      <c r="P451" s="151">
        <f>+IF(OR($Q451=Parametres!$G$2,$Q451=Parametres!$G$3),K451,E451)</f>
        <v>0</v>
      </c>
      <c r="Q451" s="150">
        <f t="shared" si="37"/>
        <v>0</v>
      </c>
      <c r="R451" s="149">
        <f t="shared" si="38"/>
        <v>0</v>
      </c>
      <c r="S451" s="150">
        <f t="shared" si="39"/>
        <v>0</v>
      </c>
      <c r="T451" s="152" t="e">
        <f>+VLOOKUP($L451,Data_Validation!$A:$D,1,0)</f>
        <v>#N/A</v>
      </c>
      <c r="U451" s="152" t="e">
        <f>+VLOOKUP($L451,Data_Validation!$A:$D,3,0)</f>
        <v>#N/A</v>
      </c>
      <c r="V451" s="152" t="e">
        <f>+VLOOKUP($L451,Data_Validation!$A:$D,4,0)</f>
        <v>#N/A</v>
      </c>
      <c r="W451" s="152" t="e">
        <f>+VLOOKUP($L451,Data_Validation!$A:$E,5,0)</f>
        <v>#N/A</v>
      </c>
      <c r="X451" s="152" t="e">
        <f>+VLOOKUP($L451,Data_Validation!$A:$F,6,0)</f>
        <v>#N/A</v>
      </c>
    </row>
    <row r="452" spans="1:24" ht="15.75" customHeight="1">
      <c r="A452" s="708"/>
      <c r="B452" s="708"/>
      <c r="C452" s="709"/>
      <c r="D452" s="709"/>
      <c r="E452" s="709"/>
      <c r="F452" s="708"/>
      <c r="G452" s="708"/>
      <c r="H452" s="709"/>
      <c r="I452" s="710"/>
      <c r="J452" s="710"/>
      <c r="K452" s="710"/>
      <c r="L452" s="149">
        <f t="shared" si="35"/>
        <v>0</v>
      </c>
      <c r="M452" s="150">
        <f t="shared" si="36"/>
        <v>0</v>
      </c>
      <c r="N452" s="151">
        <f>+IF(OR($Q452=Parametres!$G$2,$Q452=Parametres!$G$3),I452,C452)</f>
        <v>0</v>
      </c>
      <c r="O452" s="151">
        <f>+IF(OR($Q452=Parametres!$G$2,$Q452=Parametres!$G$3),J452,D452)</f>
        <v>0</v>
      </c>
      <c r="P452" s="151">
        <f>+IF(OR($Q452=Parametres!$G$2,$Q452=Parametres!$G$3),K452,E452)</f>
        <v>0</v>
      </c>
      <c r="Q452" s="150">
        <f t="shared" si="37"/>
        <v>0</v>
      </c>
      <c r="R452" s="149">
        <f t="shared" si="38"/>
        <v>0</v>
      </c>
      <c r="S452" s="150">
        <f t="shared" si="39"/>
        <v>0</v>
      </c>
      <c r="T452" s="152" t="e">
        <f>+VLOOKUP($L452,Data_Validation!$A:$D,1,0)</f>
        <v>#N/A</v>
      </c>
      <c r="U452" s="152" t="e">
        <f>+VLOOKUP($L452,Data_Validation!$A:$D,3,0)</f>
        <v>#N/A</v>
      </c>
      <c r="V452" s="152" t="e">
        <f>+VLOOKUP($L452,Data_Validation!$A:$D,4,0)</f>
        <v>#N/A</v>
      </c>
      <c r="W452" s="152" t="e">
        <f>+VLOOKUP($L452,Data_Validation!$A:$E,5,0)</f>
        <v>#N/A</v>
      </c>
      <c r="X452" s="152" t="e">
        <f>+VLOOKUP($L452,Data_Validation!$A:$F,6,0)</f>
        <v>#N/A</v>
      </c>
    </row>
    <row r="453" spans="1:24" ht="15" customHeight="1">
      <c r="A453" s="708"/>
      <c r="B453" s="708"/>
      <c r="C453" s="710"/>
      <c r="D453" s="710"/>
      <c r="E453" s="710"/>
      <c r="F453" s="708"/>
      <c r="G453" s="708"/>
      <c r="H453" s="664"/>
      <c r="I453" s="663"/>
      <c r="J453" s="663"/>
      <c r="K453" s="663"/>
      <c r="L453" s="149">
        <f t="shared" si="35"/>
        <v>0</v>
      </c>
      <c r="M453" s="150">
        <f t="shared" si="36"/>
        <v>0</v>
      </c>
      <c r="N453" s="151">
        <f>+IF(OR($Q453=Parametres!$G$2,$Q453=Parametres!$G$3),I453,C453)</f>
        <v>0</v>
      </c>
      <c r="O453" s="151">
        <f>+IF(OR($Q453=Parametres!$G$2,$Q453=Parametres!$G$3),J453,D453)</f>
        <v>0</v>
      </c>
      <c r="P453" s="151">
        <f>+IF(OR($Q453=Parametres!$G$2,$Q453=Parametres!$G$3),K453,E453)</f>
        <v>0</v>
      </c>
      <c r="Q453" s="150">
        <f t="shared" si="37"/>
        <v>0</v>
      </c>
      <c r="R453" s="149">
        <f t="shared" si="38"/>
        <v>0</v>
      </c>
      <c r="S453" s="150">
        <f t="shared" si="39"/>
        <v>0</v>
      </c>
      <c r="T453" s="152" t="e">
        <f>+VLOOKUP($L453,Data_Validation!$A:$D,1,0)</f>
        <v>#N/A</v>
      </c>
      <c r="U453" s="152" t="e">
        <f>+VLOOKUP($L453,Data_Validation!$A:$D,3,0)</f>
        <v>#N/A</v>
      </c>
      <c r="V453" s="152" t="e">
        <f>+VLOOKUP($L453,Data_Validation!$A:$D,4,0)</f>
        <v>#N/A</v>
      </c>
      <c r="W453" s="152" t="e">
        <f>+VLOOKUP($L453,Data_Validation!$A:$E,5,0)</f>
        <v>#N/A</v>
      </c>
      <c r="X453" s="152" t="e">
        <f>+VLOOKUP($L453,Data_Validation!$A:$F,6,0)</f>
        <v>#N/A</v>
      </c>
    </row>
    <row r="454" spans="1:24" ht="15" customHeight="1">
      <c r="A454" s="708"/>
      <c r="B454" s="708"/>
      <c r="C454" s="710"/>
      <c r="D454" s="710"/>
      <c r="E454" s="710"/>
      <c r="F454" s="708"/>
      <c r="G454" s="708"/>
      <c r="H454" s="664"/>
      <c r="I454" s="663"/>
      <c r="J454" s="663"/>
      <c r="K454" s="663"/>
      <c r="L454" s="149">
        <f t="shared" si="35"/>
        <v>0</v>
      </c>
      <c r="M454" s="150">
        <f t="shared" si="36"/>
        <v>0</v>
      </c>
      <c r="N454" s="151">
        <f>+IF(OR($Q454=Parametres!$G$2,$Q454=Parametres!$G$3),I454,C454)</f>
        <v>0</v>
      </c>
      <c r="O454" s="151">
        <f>+IF(OR($Q454=Parametres!$G$2,$Q454=Parametres!$G$3),J454,D454)</f>
        <v>0</v>
      </c>
      <c r="P454" s="151">
        <f>+IF(OR($Q454=Parametres!$G$2,$Q454=Parametres!$G$3),K454,E454)</f>
        <v>0</v>
      </c>
      <c r="Q454" s="150">
        <f t="shared" si="37"/>
        <v>0</v>
      </c>
      <c r="R454" s="149">
        <f t="shared" si="38"/>
        <v>0</v>
      </c>
      <c r="S454" s="150">
        <f t="shared" si="39"/>
        <v>0</v>
      </c>
      <c r="T454" s="152" t="e">
        <f>+VLOOKUP($L454,Data_Validation!$A:$D,1,0)</f>
        <v>#N/A</v>
      </c>
      <c r="U454" s="152" t="e">
        <f>+VLOOKUP($L454,Data_Validation!$A:$D,3,0)</f>
        <v>#N/A</v>
      </c>
      <c r="V454" s="152" t="e">
        <f>+VLOOKUP($L454,Data_Validation!$A:$D,4,0)</f>
        <v>#N/A</v>
      </c>
      <c r="W454" s="152" t="e">
        <f>+VLOOKUP($L454,Data_Validation!$A:$E,5,0)</f>
        <v>#N/A</v>
      </c>
      <c r="X454" s="152" t="e">
        <f>+VLOOKUP($L454,Data_Validation!$A:$F,6,0)</f>
        <v>#N/A</v>
      </c>
    </row>
    <row r="455" spans="1:24" ht="15" customHeight="1">
      <c r="A455" s="662"/>
      <c r="B455" s="662"/>
      <c r="C455" s="663"/>
      <c r="D455" s="663"/>
      <c r="E455" s="663"/>
      <c r="F455" s="662"/>
      <c r="G455" s="662"/>
      <c r="H455" s="657"/>
      <c r="I455" s="656"/>
      <c r="J455" s="656"/>
      <c r="K455" s="656"/>
      <c r="L455" s="149">
        <f t="shared" si="35"/>
        <v>0</v>
      </c>
      <c r="M455" s="150">
        <f t="shared" si="36"/>
        <v>0</v>
      </c>
      <c r="N455" s="151">
        <f>+IF(OR($Q455=Parametres!$G$2,$Q455=Parametres!$G$3),I455,C455)</f>
        <v>0</v>
      </c>
      <c r="O455" s="151">
        <f>+IF(OR($Q455=Parametres!$G$2,$Q455=Parametres!$G$3),J455,D455)</f>
        <v>0</v>
      </c>
      <c r="P455" s="151">
        <f>+IF(OR($Q455=Parametres!$G$2,$Q455=Parametres!$G$3),K455,E455)</f>
        <v>0</v>
      </c>
      <c r="Q455" s="150">
        <f t="shared" si="37"/>
        <v>0</v>
      </c>
      <c r="R455" s="149">
        <f t="shared" si="38"/>
        <v>0</v>
      </c>
      <c r="S455" s="150">
        <f t="shared" si="39"/>
        <v>0</v>
      </c>
      <c r="T455" s="152" t="e">
        <f>+VLOOKUP($L455,Data_Validation!$A:$D,1,0)</f>
        <v>#N/A</v>
      </c>
      <c r="U455" s="152" t="e">
        <f>+VLOOKUP($L455,Data_Validation!$A:$D,3,0)</f>
        <v>#N/A</v>
      </c>
      <c r="V455" s="152" t="e">
        <f>+VLOOKUP($L455,Data_Validation!$A:$D,4,0)</f>
        <v>#N/A</v>
      </c>
      <c r="W455" s="152" t="e">
        <f>+VLOOKUP($L455,Data_Validation!$A:$E,5,0)</f>
        <v>#N/A</v>
      </c>
      <c r="X455" s="152" t="e">
        <f>+VLOOKUP($L455,Data_Validation!$A:$F,6,0)</f>
        <v>#N/A</v>
      </c>
    </row>
    <row r="456" spans="1:24" ht="15.75" customHeight="1">
      <c r="A456" s="708"/>
      <c r="B456" s="708"/>
      <c r="C456" s="710"/>
      <c r="D456" s="710"/>
      <c r="E456" s="710"/>
      <c r="F456" s="708"/>
      <c r="G456" s="708"/>
      <c r="H456" s="664"/>
      <c r="I456" s="663"/>
      <c r="J456" s="663"/>
      <c r="K456" s="663"/>
      <c r="L456" s="149">
        <f t="shared" si="35"/>
        <v>0</v>
      </c>
      <c r="M456" s="150">
        <f t="shared" si="36"/>
        <v>0</v>
      </c>
      <c r="N456" s="151">
        <f>+IF(OR($Q456=Parametres!$G$2,$Q456=Parametres!$G$3),I456,C456)</f>
        <v>0</v>
      </c>
      <c r="O456" s="497">
        <f>+IF(OR($Q456=Parametres!$G$2,$Q456=Parametres!$G$3),J456,D456)</f>
        <v>0</v>
      </c>
      <c r="P456" s="151">
        <f>+IF(OR($Q456=Parametres!$G$2,$Q456=Parametres!$G$3),K456,E456)</f>
        <v>0</v>
      </c>
      <c r="Q456" s="150">
        <f t="shared" si="37"/>
        <v>0</v>
      </c>
      <c r="R456" s="149">
        <f t="shared" si="38"/>
        <v>0</v>
      </c>
      <c r="S456" s="150">
        <f t="shared" si="39"/>
        <v>0</v>
      </c>
      <c r="T456" s="152" t="e">
        <f>+VLOOKUP($L456,Data_Validation!$A:$D,1,0)</f>
        <v>#N/A</v>
      </c>
      <c r="U456" s="152" t="e">
        <f>+VLOOKUP($L456,Data_Validation!$A:$D,3,0)</f>
        <v>#N/A</v>
      </c>
      <c r="V456" s="152" t="e">
        <f>+VLOOKUP($L456,Data_Validation!$A:$D,4,0)</f>
        <v>#N/A</v>
      </c>
      <c r="W456" s="152" t="e">
        <f>+VLOOKUP($L456,Data_Validation!$A:$E,5,0)</f>
        <v>#N/A</v>
      </c>
      <c r="X456" s="152" t="e">
        <f>+VLOOKUP($L456,Data_Validation!$A:$F,6,0)</f>
        <v>#N/A</v>
      </c>
    </row>
    <row r="457" spans="1:24" ht="15" customHeight="1">
      <c r="A457" s="708"/>
      <c r="B457" s="708"/>
      <c r="C457" s="710"/>
      <c r="D457" s="710"/>
      <c r="E457" s="710"/>
      <c r="F457" s="708"/>
      <c r="G457" s="708"/>
      <c r="H457" s="664"/>
      <c r="I457" s="663"/>
      <c r="J457" s="663"/>
      <c r="K457" s="663"/>
      <c r="L457" s="149">
        <f t="shared" si="35"/>
        <v>0</v>
      </c>
      <c r="M457" s="150">
        <f t="shared" si="36"/>
        <v>0</v>
      </c>
      <c r="N457" s="151">
        <f>+IF(OR($Q457=Parametres!$G$2,$Q457=Parametres!$G$3),I457,C457)</f>
        <v>0</v>
      </c>
      <c r="O457" s="151">
        <f>+IF(OR($Q457=Parametres!$G$2,$Q457=Parametres!$G$3),J457,D457)</f>
        <v>0</v>
      </c>
      <c r="P457" s="151">
        <f>+IF(OR($Q457=Parametres!$G$2,$Q457=Parametres!$G$3),K457,E457)</f>
        <v>0</v>
      </c>
      <c r="Q457" s="150">
        <f t="shared" si="37"/>
        <v>0</v>
      </c>
      <c r="R457" s="149">
        <f t="shared" si="38"/>
        <v>0</v>
      </c>
      <c r="S457" s="150">
        <f t="shared" si="39"/>
        <v>0</v>
      </c>
      <c r="T457" s="152" t="e">
        <f>+VLOOKUP($L457,Data_Validation!$A:$D,1,0)</f>
        <v>#N/A</v>
      </c>
      <c r="U457" s="152" t="e">
        <f>+VLOOKUP($L457,Data_Validation!$A:$D,3,0)</f>
        <v>#N/A</v>
      </c>
      <c r="V457" s="152" t="e">
        <f>+VLOOKUP($L457,Data_Validation!$A:$D,4,0)</f>
        <v>#N/A</v>
      </c>
      <c r="W457" s="152" t="e">
        <f>+VLOOKUP($L457,Data_Validation!$A:$E,5,0)</f>
        <v>#N/A</v>
      </c>
      <c r="X457" s="152" t="e">
        <f>+VLOOKUP($L457,Data_Validation!$A:$F,6,0)</f>
        <v>#N/A</v>
      </c>
    </row>
    <row r="458" spans="1:24" ht="15" customHeight="1">
      <c r="A458" s="708"/>
      <c r="B458" s="708"/>
      <c r="C458" s="710"/>
      <c r="D458" s="710"/>
      <c r="E458" s="710"/>
      <c r="F458" s="708"/>
      <c r="G458" s="708"/>
      <c r="H458" s="664"/>
      <c r="I458" s="663"/>
      <c r="J458" s="663"/>
      <c r="K458" s="663"/>
      <c r="L458" s="149">
        <f t="shared" si="35"/>
        <v>0</v>
      </c>
      <c r="M458" s="150">
        <f t="shared" si="36"/>
        <v>0</v>
      </c>
      <c r="N458" s="151">
        <f>+IF(OR($Q458=Parametres!$G$2,$Q458=Parametres!$G$3),I458,C458)</f>
        <v>0</v>
      </c>
      <c r="O458" s="151">
        <f>+IF(OR($Q458=Parametres!$G$2,$Q458=Parametres!$G$3),J458,D458)</f>
        <v>0</v>
      </c>
      <c r="P458" s="151">
        <f>+IF(OR($Q458=Parametres!$G$2,$Q458=Parametres!$G$3),K458,E458)</f>
        <v>0</v>
      </c>
      <c r="Q458" s="150">
        <f t="shared" si="37"/>
        <v>0</v>
      </c>
      <c r="R458" s="149">
        <f t="shared" si="38"/>
        <v>0</v>
      </c>
      <c r="S458" s="150">
        <f t="shared" si="39"/>
        <v>0</v>
      </c>
      <c r="T458" s="152" t="e">
        <f>+VLOOKUP($L458,Data_Validation!$A:$D,1,0)</f>
        <v>#N/A</v>
      </c>
      <c r="U458" s="152" t="e">
        <f>+VLOOKUP($L458,Data_Validation!$A:$D,3,0)</f>
        <v>#N/A</v>
      </c>
      <c r="V458" s="152" t="e">
        <f>+VLOOKUP($L458,Data_Validation!$A:$D,4,0)</f>
        <v>#N/A</v>
      </c>
      <c r="W458" s="152" t="e">
        <f>+VLOOKUP($L458,Data_Validation!$A:$E,5,0)</f>
        <v>#N/A</v>
      </c>
      <c r="X458" s="152" t="e">
        <f>+VLOOKUP($L458,Data_Validation!$A:$F,6,0)</f>
        <v>#N/A</v>
      </c>
    </row>
    <row r="459" spans="1:24" ht="15" customHeight="1">
      <c r="A459" s="708"/>
      <c r="B459" s="708"/>
      <c r="C459" s="709"/>
      <c r="D459" s="709"/>
      <c r="E459" s="709"/>
      <c r="F459" s="708"/>
      <c r="G459" s="708"/>
      <c r="H459" s="709"/>
      <c r="I459" s="710"/>
      <c r="J459" s="710"/>
      <c r="K459" s="710"/>
      <c r="L459" s="149">
        <f t="shared" si="35"/>
        <v>0</v>
      </c>
      <c r="M459" s="150">
        <f t="shared" si="36"/>
        <v>0</v>
      </c>
      <c r="N459" s="151">
        <f>+IF(OR($Q459=Parametres!$G$2,$Q459=Parametres!$G$3),I459,C459)</f>
        <v>0</v>
      </c>
      <c r="O459" s="151">
        <f>+IF(OR($Q459=Parametres!$G$2,$Q459=Parametres!$G$3),J459,D459)</f>
        <v>0</v>
      </c>
      <c r="P459" s="151">
        <f>+IF(OR($Q459=Parametres!$G$2,$Q459=Parametres!$G$3),K459,E459)</f>
        <v>0</v>
      </c>
      <c r="Q459" s="150">
        <f t="shared" si="37"/>
        <v>0</v>
      </c>
      <c r="R459" s="149">
        <f t="shared" si="38"/>
        <v>0</v>
      </c>
      <c r="S459" s="150">
        <f t="shared" si="39"/>
        <v>0</v>
      </c>
      <c r="T459" s="152" t="e">
        <f>+VLOOKUP($L459,Data_Validation!$A:$D,1,0)</f>
        <v>#N/A</v>
      </c>
      <c r="U459" s="152" t="e">
        <f>+VLOOKUP($L459,Data_Validation!$A:$D,3,0)</f>
        <v>#N/A</v>
      </c>
      <c r="V459" s="152" t="e">
        <f>+VLOOKUP($L459,Data_Validation!$A:$D,4,0)</f>
        <v>#N/A</v>
      </c>
      <c r="W459" s="152" t="e">
        <f>+VLOOKUP($L459,Data_Validation!$A:$E,5,0)</f>
        <v>#N/A</v>
      </c>
      <c r="X459" s="152" t="e">
        <f>+VLOOKUP($L459,Data_Validation!$A:$F,6,0)</f>
        <v>#N/A</v>
      </c>
    </row>
    <row r="460" spans="1:24" ht="15" customHeight="1">
      <c r="A460" s="708"/>
      <c r="B460" s="708"/>
      <c r="C460" s="709"/>
      <c r="D460" s="709"/>
      <c r="E460" s="709"/>
      <c r="F460" s="708"/>
      <c r="G460" s="708"/>
      <c r="H460" s="709"/>
      <c r="I460" s="710"/>
      <c r="J460" s="710"/>
      <c r="K460" s="710"/>
      <c r="L460" s="149">
        <f t="shared" si="35"/>
        <v>0</v>
      </c>
      <c r="M460" s="150">
        <f t="shared" si="36"/>
        <v>0</v>
      </c>
      <c r="N460" s="151">
        <f>+IF(OR($Q460=Parametres!$G$2,$Q460=Parametres!$G$3),I460,C460)</f>
        <v>0</v>
      </c>
      <c r="O460" s="151">
        <f>+IF(OR($Q460=Parametres!$G$2,$Q460=Parametres!$G$3),J460,D460)</f>
        <v>0</v>
      </c>
      <c r="P460" s="151">
        <f>+IF(OR($Q460=Parametres!$G$2,$Q460=Parametres!$G$3),K460,E460)</f>
        <v>0</v>
      </c>
      <c r="Q460" s="150">
        <f t="shared" si="37"/>
        <v>0</v>
      </c>
      <c r="R460" s="149">
        <f t="shared" si="38"/>
        <v>0</v>
      </c>
      <c r="S460" s="150">
        <f t="shared" si="39"/>
        <v>0</v>
      </c>
      <c r="T460" s="152" t="e">
        <f>+VLOOKUP($L460,Data_Validation!$A:$D,1,0)</f>
        <v>#N/A</v>
      </c>
      <c r="U460" s="152" t="e">
        <f>+VLOOKUP($L460,Data_Validation!$A:$D,3,0)</f>
        <v>#N/A</v>
      </c>
      <c r="V460" s="152" t="e">
        <f>+VLOOKUP($L460,Data_Validation!$A:$D,4,0)</f>
        <v>#N/A</v>
      </c>
      <c r="W460" s="152" t="e">
        <f>+VLOOKUP($L460,Data_Validation!$A:$E,5,0)</f>
        <v>#N/A</v>
      </c>
      <c r="X460" s="152" t="e">
        <f>+VLOOKUP($L460,Data_Validation!$A:$F,6,0)</f>
        <v>#N/A</v>
      </c>
    </row>
    <row r="461" spans="1:24" ht="15" customHeight="1">
      <c r="A461" s="708"/>
      <c r="B461" s="708"/>
      <c r="C461" s="709"/>
      <c r="D461" s="709"/>
      <c r="E461" s="709"/>
      <c r="F461" s="708"/>
      <c r="G461" s="708"/>
      <c r="H461" s="709"/>
      <c r="I461" s="710"/>
      <c r="J461" s="710"/>
      <c r="K461" s="710"/>
      <c r="L461" s="149">
        <f t="shared" si="35"/>
        <v>0</v>
      </c>
      <c r="M461" s="150">
        <f t="shared" si="36"/>
        <v>0</v>
      </c>
      <c r="N461" s="151">
        <f>+IF(OR($Q461=Parametres!$G$2,$Q461=Parametres!$G$3),I461,C461)</f>
        <v>0</v>
      </c>
      <c r="O461" s="151">
        <f>+IF(OR($Q461=Parametres!$G$2,$Q461=Parametres!$G$3),J461,D461)</f>
        <v>0</v>
      </c>
      <c r="P461" s="151">
        <f>+IF(OR($Q461=Parametres!$G$2,$Q461=Parametres!$G$3),K461,E461)</f>
        <v>0</v>
      </c>
      <c r="Q461" s="150">
        <f t="shared" si="37"/>
        <v>0</v>
      </c>
      <c r="R461" s="149">
        <f t="shared" si="38"/>
        <v>0</v>
      </c>
      <c r="S461" s="150">
        <f t="shared" si="39"/>
        <v>0</v>
      </c>
      <c r="T461" s="152" t="e">
        <f>+VLOOKUP($L461,Data_Validation!$A:$D,1,0)</f>
        <v>#N/A</v>
      </c>
      <c r="U461" s="152" t="e">
        <f>+VLOOKUP($L461,Data_Validation!$A:$D,3,0)</f>
        <v>#N/A</v>
      </c>
      <c r="V461" s="152" t="e">
        <f>+VLOOKUP($L461,Data_Validation!$A:$D,4,0)</f>
        <v>#N/A</v>
      </c>
      <c r="W461" s="152" t="e">
        <f>+VLOOKUP($L461,Data_Validation!$A:$E,5,0)</f>
        <v>#N/A</v>
      </c>
      <c r="X461" s="152" t="e">
        <f>+VLOOKUP($L461,Data_Validation!$A:$F,6,0)</f>
        <v>#N/A</v>
      </c>
    </row>
    <row r="462" spans="1:24" ht="15.75" customHeight="1">
      <c r="A462" s="708"/>
      <c r="B462" s="708"/>
      <c r="C462" s="710"/>
      <c r="D462" s="710"/>
      <c r="E462" s="710"/>
      <c r="F462" s="708"/>
      <c r="G462" s="708"/>
      <c r="H462" s="664"/>
      <c r="I462" s="663"/>
      <c r="J462" s="663"/>
      <c r="K462" s="663"/>
      <c r="L462" s="149">
        <f t="shared" si="35"/>
        <v>0</v>
      </c>
      <c r="M462" s="150">
        <f t="shared" si="36"/>
        <v>0</v>
      </c>
      <c r="N462" s="151">
        <f>+IF(OR($Q462=Parametres!$G$2,$Q462=Parametres!$G$3),I462,C462)</f>
        <v>0</v>
      </c>
      <c r="O462" s="151">
        <f>+IF(OR($Q462=Parametres!$G$2,$Q462=Parametres!$G$3),J462,D462)</f>
        <v>0</v>
      </c>
      <c r="P462" s="151">
        <f>+IF(OR($Q462=Parametres!$G$2,$Q462=Parametres!$G$3),K462,E462)</f>
        <v>0</v>
      </c>
      <c r="Q462" s="150">
        <f t="shared" si="37"/>
        <v>0</v>
      </c>
      <c r="R462" s="149">
        <f t="shared" si="38"/>
        <v>0</v>
      </c>
      <c r="S462" s="150">
        <f t="shared" si="39"/>
        <v>0</v>
      </c>
      <c r="T462" s="152" t="e">
        <f>+VLOOKUP($L462,Data_Validation!$A:$D,1,0)</f>
        <v>#N/A</v>
      </c>
      <c r="U462" s="152" t="e">
        <f>+VLOOKUP($L462,Data_Validation!$A:$D,3,0)</f>
        <v>#N/A</v>
      </c>
      <c r="V462" s="152" t="e">
        <f>+VLOOKUP($L462,Data_Validation!$A:$D,4,0)</f>
        <v>#N/A</v>
      </c>
      <c r="W462" s="152" t="e">
        <f>+VLOOKUP($L462,Data_Validation!$A:$E,5,0)</f>
        <v>#N/A</v>
      </c>
      <c r="X462" s="152" t="e">
        <f>+VLOOKUP($L462,Data_Validation!$A:$F,6,0)</f>
        <v>#N/A</v>
      </c>
    </row>
    <row r="463" spans="1:24" ht="15" customHeight="1">
      <c r="A463" s="708"/>
      <c r="B463" s="708"/>
      <c r="C463" s="710"/>
      <c r="D463" s="710"/>
      <c r="E463" s="710"/>
      <c r="F463" s="708"/>
      <c r="G463" s="708"/>
      <c r="H463" s="664"/>
      <c r="I463" s="663"/>
      <c r="J463" s="663"/>
      <c r="K463" s="663"/>
      <c r="L463" s="149">
        <f t="shared" si="35"/>
        <v>0</v>
      </c>
      <c r="M463" s="150">
        <f t="shared" si="36"/>
        <v>0</v>
      </c>
      <c r="N463" s="151">
        <f>+IF(OR($Q463=Parametres!$G$2,$Q463=Parametres!$G$3),I463,C463)</f>
        <v>0</v>
      </c>
      <c r="O463" s="151">
        <f>+IF(OR($Q463=Parametres!$G$2,$Q463=Parametres!$G$3),J463,D463)</f>
        <v>0</v>
      </c>
      <c r="P463" s="151">
        <f>+IF(OR($Q463=Parametres!$G$2,$Q463=Parametres!$G$3),K463,E463)</f>
        <v>0</v>
      </c>
      <c r="Q463" s="150">
        <f t="shared" si="37"/>
        <v>0</v>
      </c>
      <c r="R463" s="149">
        <f t="shared" si="38"/>
        <v>0</v>
      </c>
      <c r="S463" s="150">
        <f t="shared" si="39"/>
        <v>0</v>
      </c>
      <c r="T463" s="152" t="e">
        <f>+VLOOKUP($L463,Data_Validation!$A:$D,1,0)</f>
        <v>#N/A</v>
      </c>
      <c r="U463" s="152" t="e">
        <f>+VLOOKUP($L463,Data_Validation!$A:$D,3,0)</f>
        <v>#N/A</v>
      </c>
      <c r="V463" s="152" t="e">
        <f>+VLOOKUP($L463,Data_Validation!$A:$D,4,0)</f>
        <v>#N/A</v>
      </c>
      <c r="W463" s="152" t="e">
        <f>+VLOOKUP($L463,Data_Validation!$A:$E,5,0)</f>
        <v>#N/A</v>
      </c>
      <c r="X463" s="152" t="e">
        <f>+VLOOKUP($L463,Data_Validation!$A:$F,6,0)</f>
        <v>#N/A</v>
      </c>
    </row>
    <row r="464" spans="1:24" ht="15" customHeight="1">
      <c r="A464" s="708"/>
      <c r="B464" s="708"/>
      <c r="C464" s="710"/>
      <c r="D464" s="710"/>
      <c r="E464" s="710"/>
      <c r="F464" s="708"/>
      <c r="G464" s="708"/>
      <c r="H464" s="664"/>
      <c r="I464" s="663"/>
      <c r="J464" s="663"/>
      <c r="K464" s="663"/>
      <c r="L464" s="149">
        <f t="shared" si="35"/>
        <v>0</v>
      </c>
      <c r="M464" s="150">
        <f t="shared" si="36"/>
        <v>0</v>
      </c>
      <c r="N464" s="151">
        <f>+IF(OR($Q464=Parametres!$G$2,$Q464=Parametres!$G$3),I464,C464)</f>
        <v>0</v>
      </c>
      <c r="O464" s="151">
        <f>+IF(OR($Q464=Parametres!$G$2,$Q464=Parametres!$G$3),J464,D464)</f>
        <v>0</v>
      </c>
      <c r="P464" s="151">
        <f>+IF(OR($Q464=Parametres!$G$2,$Q464=Parametres!$G$3),K464,E464)</f>
        <v>0</v>
      </c>
      <c r="Q464" s="150">
        <f t="shared" si="37"/>
        <v>0</v>
      </c>
      <c r="R464" s="149">
        <f t="shared" si="38"/>
        <v>0</v>
      </c>
      <c r="S464" s="150">
        <f t="shared" si="39"/>
        <v>0</v>
      </c>
      <c r="T464" s="152" t="e">
        <f>+VLOOKUP($L464,Data_Validation!$A:$D,1,0)</f>
        <v>#N/A</v>
      </c>
      <c r="U464" s="152" t="e">
        <f>+VLOOKUP($L464,Data_Validation!$A:$D,3,0)</f>
        <v>#N/A</v>
      </c>
      <c r="V464" s="152" t="e">
        <f>+VLOOKUP($L464,Data_Validation!$A:$D,4,0)</f>
        <v>#N/A</v>
      </c>
      <c r="W464" s="152" t="e">
        <f>+VLOOKUP($L464,Data_Validation!$A:$E,5,0)</f>
        <v>#N/A</v>
      </c>
      <c r="X464" s="152" t="e">
        <f>+VLOOKUP($L464,Data_Validation!$A:$F,6,0)</f>
        <v>#N/A</v>
      </c>
    </row>
    <row r="465" spans="1:24" ht="15" customHeight="1">
      <c r="A465" s="708"/>
      <c r="B465" s="708"/>
      <c r="C465" s="709"/>
      <c r="D465" s="709"/>
      <c r="E465" s="709"/>
      <c r="F465" s="708"/>
      <c r="G465" s="708"/>
      <c r="H465" s="709"/>
      <c r="I465" s="710"/>
      <c r="J465" s="710"/>
      <c r="K465" s="710"/>
      <c r="L465" s="149">
        <f t="shared" si="35"/>
        <v>0</v>
      </c>
      <c r="M465" s="150">
        <f t="shared" si="36"/>
        <v>0</v>
      </c>
      <c r="N465" s="151">
        <f>+IF(OR($Q465=Parametres!$G$2,$Q465=Parametres!$G$3),I465,C465)</f>
        <v>0</v>
      </c>
      <c r="O465" s="151">
        <f>+IF(OR($Q465=Parametres!$G$2,$Q465=Parametres!$G$3),J465,D465)</f>
        <v>0</v>
      </c>
      <c r="P465" s="151">
        <f>+IF(OR($Q465=Parametres!$G$2,$Q465=Parametres!$G$3),K465,E465)</f>
        <v>0</v>
      </c>
      <c r="Q465" s="150">
        <f t="shared" si="37"/>
        <v>0</v>
      </c>
      <c r="R465" s="149">
        <f t="shared" si="38"/>
        <v>0</v>
      </c>
      <c r="S465" s="150">
        <f t="shared" si="39"/>
        <v>0</v>
      </c>
      <c r="T465" s="152" t="e">
        <f>+VLOOKUP($L465,Data_Validation!$A:$D,1,0)</f>
        <v>#N/A</v>
      </c>
      <c r="U465" s="152" t="e">
        <f>+VLOOKUP($L465,Data_Validation!$A:$D,3,0)</f>
        <v>#N/A</v>
      </c>
      <c r="V465" s="152" t="e">
        <f>+VLOOKUP($L465,Data_Validation!$A:$D,4,0)</f>
        <v>#N/A</v>
      </c>
      <c r="W465" s="152" t="e">
        <f>+VLOOKUP($L465,Data_Validation!$A:$E,5,0)</f>
        <v>#N/A</v>
      </c>
      <c r="X465" s="152" t="e">
        <f>+VLOOKUP($L465,Data_Validation!$A:$F,6,0)</f>
        <v>#N/A</v>
      </c>
    </row>
    <row r="466" spans="1:24" ht="15" customHeight="1">
      <c r="A466" s="708"/>
      <c r="B466" s="708"/>
      <c r="C466" s="709"/>
      <c r="D466" s="709"/>
      <c r="E466" s="709"/>
      <c r="F466" s="708"/>
      <c r="G466" s="708"/>
      <c r="H466" s="709"/>
      <c r="I466" s="710"/>
      <c r="J466" s="710"/>
      <c r="K466" s="710"/>
      <c r="L466" s="149">
        <f t="shared" si="35"/>
        <v>0</v>
      </c>
      <c r="M466" s="150">
        <f t="shared" si="36"/>
        <v>0</v>
      </c>
      <c r="N466" s="151">
        <f>+IF(OR($Q466=Parametres!$G$2,$Q466=Parametres!$G$3),I466,C466)</f>
        <v>0</v>
      </c>
      <c r="O466" s="151">
        <f>+IF(OR($Q466=Parametres!$G$2,$Q466=Parametres!$G$3),J466,D466)</f>
        <v>0</v>
      </c>
      <c r="P466" s="151">
        <f>+IF(OR($Q466=Parametres!$G$2,$Q466=Parametres!$G$3),K466,E466)</f>
        <v>0</v>
      </c>
      <c r="Q466" s="150">
        <f t="shared" si="37"/>
        <v>0</v>
      </c>
      <c r="R466" s="149">
        <f t="shared" si="38"/>
        <v>0</v>
      </c>
      <c r="S466" s="150">
        <f t="shared" si="39"/>
        <v>0</v>
      </c>
      <c r="T466" s="152" t="e">
        <f>+VLOOKUP($L466,Data_Validation!$A:$D,1,0)</f>
        <v>#N/A</v>
      </c>
      <c r="U466" s="152" t="e">
        <f>+VLOOKUP($L466,Data_Validation!$A:$D,3,0)</f>
        <v>#N/A</v>
      </c>
      <c r="V466" s="152" t="e">
        <f>+VLOOKUP($L466,Data_Validation!$A:$D,4,0)</f>
        <v>#N/A</v>
      </c>
      <c r="W466" s="152" t="e">
        <f>+VLOOKUP($L466,Data_Validation!$A:$E,5,0)</f>
        <v>#N/A</v>
      </c>
      <c r="X466" s="152" t="e">
        <f>+VLOOKUP($L466,Data_Validation!$A:$F,6,0)</f>
        <v>#N/A</v>
      </c>
    </row>
    <row r="467" spans="1:24" ht="15.75" customHeight="1">
      <c r="A467" s="708"/>
      <c r="B467" s="708"/>
      <c r="C467" s="710"/>
      <c r="D467" s="710"/>
      <c r="E467" s="710"/>
      <c r="F467" s="708"/>
      <c r="G467" s="708"/>
      <c r="H467" s="664"/>
      <c r="I467" s="663"/>
      <c r="J467" s="663"/>
      <c r="K467" s="663"/>
      <c r="L467" s="149">
        <f t="shared" si="35"/>
        <v>0</v>
      </c>
      <c r="M467" s="150">
        <f t="shared" si="36"/>
        <v>0</v>
      </c>
      <c r="N467" s="151">
        <f>+IF(OR($Q467=Parametres!$G$2,$Q467=Parametres!$G$3),I467,C467)</f>
        <v>0</v>
      </c>
      <c r="O467" s="151">
        <f>+IF(OR($Q467=Parametres!$G$2,$Q467=Parametres!$G$3),J467,D467)</f>
        <v>0</v>
      </c>
      <c r="P467" s="151">
        <f>+IF(OR($Q467=Parametres!$G$2,$Q467=Parametres!$G$3),K467,E467)</f>
        <v>0</v>
      </c>
      <c r="Q467" s="150">
        <f t="shared" si="37"/>
        <v>0</v>
      </c>
      <c r="R467" s="149">
        <f t="shared" si="38"/>
        <v>0</v>
      </c>
      <c r="S467" s="150">
        <f t="shared" si="39"/>
        <v>0</v>
      </c>
      <c r="T467" s="152" t="e">
        <f>+VLOOKUP($L467,Data_Validation!$A:$D,1,0)</f>
        <v>#N/A</v>
      </c>
      <c r="U467" s="152" t="e">
        <f>+VLOOKUP($L467,Data_Validation!$A:$D,3,0)</f>
        <v>#N/A</v>
      </c>
      <c r="V467" s="152" t="e">
        <f>+VLOOKUP($L467,Data_Validation!$A:$D,4,0)</f>
        <v>#N/A</v>
      </c>
      <c r="W467" s="152" t="e">
        <f>+VLOOKUP($L467,Data_Validation!$A:$E,5,0)</f>
        <v>#N/A</v>
      </c>
      <c r="X467" s="152" t="e">
        <f>+VLOOKUP($L467,Data_Validation!$A:$F,6,0)</f>
        <v>#N/A</v>
      </c>
    </row>
    <row r="468" spans="1:24" ht="15" customHeight="1">
      <c r="A468" s="708"/>
      <c r="B468" s="708"/>
      <c r="C468" s="710"/>
      <c r="D468" s="710"/>
      <c r="E468" s="710"/>
      <c r="F468" s="708"/>
      <c r="G468" s="708"/>
      <c r="H468" s="664"/>
      <c r="I468" s="663"/>
      <c r="J468" s="663"/>
      <c r="K468" s="663"/>
      <c r="L468" s="149">
        <f t="shared" si="35"/>
        <v>0</v>
      </c>
      <c r="M468" s="150">
        <f t="shared" si="36"/>
        <v>0</v>
      </c>
      <c r="N468" s="151">
        <f>+IF(OR($Q468=Parametres!$G$2,$Q468=Parametres!$G$3),I468,C468)</f>
        <v>0</v>
      </c>
      <c r="O468" s="151">
        <f>+IF(OR($Q468=Parametres!$G$2,$Q468=Parametres!$G$3),J468,D468)</f>
        <v>0</v>
      </c>
      <c r="P468" s="151">
        <f>+IF(OR($Q468=Parametres!$G$2,$Q468=Parametres!$G$3),K468,E468)</f>
        <v>0</v>
      </c>
      <c r="Q468" s="150">
        <f t="shared" si="37"/>
        <v>0</v>
      </c>
      <c r="R468" s="149">
        <f t="shared" si="38"/>
        <v>0</v>
      </c>
      <c r="S468" s="150">
        <f t="shared" si="39"/>
        <v>0</v>
      </c>
      <c r="T468" s="152" t="e">
        <f>+VLOOKUP($L468,Data_Validation!$A:$D,1,0)</f>
        <v>#N/A</v>
      </c>
      <c r="U468" s="152" t="e">
        <f>+VLOOKUP($L468,Data_Validation!$A:$D,3,0)</f>
        <v>#N/A</v>
      </c>
      <c r="V468" s="152" t="e">
        <f>+VLOOKUP($L468,Data_Validation!$A:$D,4,0)</f>
        <v>#N/A</v>
      </c>
      <c r="W468" s="152" t="e">
        <f>+VLOOKUP($L468,Data_Validation!$A:$E,5,0)</f>
        <v>#N/A</v>
      </c>
      <c r="X468" s="152" t="e">
        <f>+VLOOKUP($L468,Data_Validation!$A:$F,6,0)</f>
        <v>#N/A</v>
      </c>
    </row>
    <row r="469" spans="1:24" ht="15" customHeight="1">
      <c r="A469" s="708"/>
      <c r="B469" s="708"/>
      <c r="C469" s="710"/>
      <c r="D469" s="710"/>
      <c r="E469" s="710"/>
      <c r="F469" s="708"/>
      <c r="G469" s="708"/>
      <c r="H469" s="664"/>
      <c r="I469" s="663"/>
      <c r="J469" s="663"/>
      <c r="K469" s="663"/>
      <c r="L469" s="149">
        <f t="shared" si="35"/>
        <v>0</v>
      </c>
      <c r="M469" s="150">
        <f t="shared" si="36"/>
        <v>0</v>
      </c>
      <c r="N469" s="151">
        <f>+IF(OR($Q469=Parametres!$G$2,$Q469=Parametres!$G$3),I469,C469)</f>
        <v>0</v>
      </c>
      <c r="O469" s="151">
        <f>+IF(OR($Q469=Parametres!$G$2,$Q469=Parametres!$G$3),J469,D469)</f>
        <v>0</v>
      </c>
      <c r="P469" s="151">
        <f>+IF(OR($Q469=Parametres!$G$2,$Q469=Parametres!$G$3),K469,E469)</f>
        <v>0</v>
      </c>
      <c r="Q469" s="150">
        <f t="shared" si="37"/>
        <v>0</v>
      </c>
      <c r="R469" s="149">
        <f t="shared" si="38"/>
        <v>0</v>
      </c>
      <c r="S469" s="150">
        <f t="shared" si="39"/>
        <v>0</v>
      </c>
      <c r="T469" s="152" t="e">
        <f>+VLOOKUP($L469,Data_Validation!$A:$D,1,0)</f>
        <v>#N/A</v>
      </c>
      <c r="U469" s="152" t="e">
        <f>+VLOOKUP($L469,Data_Validation!$A:$D,3,0)</f>
        <v>#N/A</v>
      </c>
      <c r="V469" s="152" t="e">
        <f>+VLOOKUP($L469,Data_Validation!$A:$D,4,0)</f>
        <v>#N/A</v>
      </c>
      <c r="W469" s="152" t="e">
        <f>+VLOOKUP($L469,Data_Validation!$A:$E,5,0)</f>
        <v>#N/A</v>
      </c>
      <c r="X469" s="152" t="e">
        <f>+VLOOKUP($L469,Data_Validation!$A:$F,6,0)</f>
        <v>#N/A</v>
      </c>
    </row>
    <row r="470" spans="1:24" ht="15" customHeight="1">
      <c r="A470" s="708"/>
      <c r="B470" s="708"/>
      <c r="C470" s="709"/>
      <c r="D470" s="709"/>
      <c r="E470" s="709"/>
      <c r="F470" s="708"/>
      <c r="G470" s="708"/>
      <c r="H470" s="709"/>
      <c r="I470" s="710"/>
      <c r="J470" s="710"/>
      <c r="K470" s="710"/>
      <c r="L470" s="149">
        <f t="shared" si="35"/>
        <v>0</v>
      </c>
      <c r="M470" s="150">
        <f t="shared" si="36"/>
        <v>0</v>
      </c>
      <c r="N470" s="151">
        <f>+IF(OR($Q470=Parametres!$G$2,$Q470=Parametres!$G$3),I470,C470)</f>
        <v>0</v>
      </c>
      <c r="O470" s="151">
        <f>+IF(OR($Q470=Parametres!$G$2,$Q470=Parametres!$G$3),J470,D470)</f>
        <v>0</v>
      </c>
      <c r="P470" s="151">
        <f>+IF(OR($Q470=Parametres!$G$2,$Q470=Parametres!$G$3),K470,E470)</f>
        <v>0</v>
      </c>
      <c r="Q470" s="150">
        <f t="shared" si="37"/>
        <v>0</v>
      </c>
      <c r="R470" s="149">
        <f t="shared" si="38"/>
        <v>0</v>
      </c>
      <c r="S470" s="150">
        <f t="shared" si="39"/>
        <v>0</v>
      </c>
      <c r="T470" s="152" t="e">
        <f>+VLOOKUP($L470,Data_Validation!$A:$D,1,0)</f>
        <v>#N/A</v>
      </c>
      <c r="U470" s="152" t="e">
        <f>+VLOOKUP($L470,Data_Validation!$A:$D,3,0)</f>
        <v>#N/A</v>
      </c>
      <c r="V470" s="152" t="e">
        <f>+VLOOKUP($L470,Data_Validation!$A:$D,4,0)</f>
        <v>#N/A</v>
      </c>
      <c r="W470" s="152" t="e">
        <f>+VLOOKUP($L470,Data_Validation!$A:$E,5,0)</f>
        <v>#N/A</v>
      </c>
      <c r="X470" s="152" t="e">
        <f>+VLOOKUP($L470,Data_Validation!$A:$F,6,0)</f>
        <v>#N/A</v>
      </c>
    </row>
    <row r="471" spans="1:24" ht="15" customHeight="1">
      <c r="A471" s="708"/>
      <c r="B471" s="708"/>
      <c r="C471" s="710"/>
      <c r="D471" s="710"/>
      <c r="E471" s="710"/>
      <c r="F471" s="708"/>
      <c r="G471" s="708"/>
      <c r="H471" s="709"/>
      <c r="I471" s="709"/>
      <c r="J471" s="709"/>
      <c r="K471" s="709"/>
      <c r="L471" s="149">
        <f t="shared" si="35"/>
        <v>0</v>
      </c>
      <c r="M471" s="150">
        <f t="shared" si="36"/>
        <v>0</v>
      </c>
      <c r="N471" s="151">
        <f>+IF(OR($Q471=Parametres!$G$2,$Q471=Parametres!$G$3),I471,C471)</f>
        <v>0</v>
      </c>
      <c r="O471" s="151">
        <f>+IF(OR($Q471=Parametres!$G$2,$Q471=Parametres!$G$3),J471,D471)</f>
        <v>0</v>
      </c>
      <c r="P471" s="151">
        <f>+IF(OR($Q471=Parametres!$G$2,$Q471=Parametres!$G$3),K471,E471)</f>
        <v>0</v>
      </c>
      <c r="Q471" s="150">
        <f t="shared" si="37"/>
        <v>0</v>
      </c>
      <c r="R471" s="149">
        <f t="shared" si="38"/>
        <v>0</v>
      </c>
      <c r="S471" s="150">
        <f t="shared" si="39"/>
        <v>0</v>
      </c>
      <c r="T471" s="152" t="e">
        <f>+VLOOKUP($L471,Data_Validation!$A:$D,1,0)</f>
        <v>#N/A</v>
      </c>
      <c r="U471" s="152" t="e">
        <f>+VLOOKUP($L471,Data_Validation!$A:$D,3,0)</f>
        <v>#N/A</v>
      </c>
      <c r="V471" s="152" t="e">
        <f>+VLOOKUP($L471,Data_Validation!$A:$D,4,0)</f>
        <v>#N/A</v>
      </c>
      <c r="W471" s="152" t="e">
        <f>+VLOOKUP($L471,Data_Validation!$A:$E,5,0)</f>
        <v>#N/A</v>
      </c>
      <c r="X471" s="152" t="e">
        <f>+VLOOKUP($L471,Data_Validation!$A:$F,6,0)</f>
        <v>#N/A</v>
      </c>
    </row>
    <row r="472" spans="1:24" ht="15" customHeight="1">
      <c r="A472" s="708"/>
      <c r="B472" s="708"/>
      <c r="C472" s="709"/>
      <c r="D472" s="709"/>
      <c r="E472" s="709"/>
      <c r="F472" s="708"/>
      <c r="G472" s="708"/>
      <c r="H472" s="709"/>
      <c r="I472" s="710"/>
      <c r="J472" s="710"/>
      <c r="K472" s="710"/>
      <c r="L472" s="149">
        <f t="shared" si="35"/>
        <v>0</v>
      </c>
      <c r="M472" s="150">
        <f t="shared" si="36"/>
        <v>0</v>
      </c>
      <c r="N472" s="151">
        <f>+IF(OR($Q472=Parametres!$G$2,$Q472=Parametres!$G$3),I472,C472)</f>
        <v>0</v>
      </c>
      <c r="O472" s="151">
        <f>+IF(OR($Q472=Parametres!$G$2,$Q472=Parametres!$G$3),J472,D472)</f>
        <v>0</v>
      </c>
      <c r="P472" s="151">
        <f>+IF(OR($Q472=Parametres!$G$2,$Q472=Parametres!$G$3),K472,E472)</f>
        <v>0</v>
      </c>
      <c r="Q472" s="150">
        <f t="shared" si="37"/>
        <v>0</v>
      </c>
      <c r="R472" s="149">
        <f t="shared" si="38"/>
        <v>0</v>
      </c>
      <c r="S472" s="150">
        <f t="shared" si="39"/>
        <v>0</v>
      </c>
      <c r="T472" s="152" t="e">
        <f>+VLOOKUP($L472,Data_Validation!$A:$D,1,0)</f>
        <v>#N/A</v>
      </c>
      <c r="U472" s="152" t="e">
        <f>+VLOOKUP($L472,Data_Validation!$A:$D,3,0)</f>
        <v>#N/A</v>
      </c>
      <c r="V472" s="152" t="e">
        <f>+VLOOKUP($L472,Data_Validation!$A:$D,4,0)</f>
        <v>#N/A</v>
      </c>
      <c r="W472" s="152" t="e">
        <f>+VLOOKUP($L472,Data_Validation!$A:$E,5,0)</f>
        <v>#N/A</v>
      </c>
      <c r="X472" s="152" t="e">
        <f>+VLOOKUP($L472,Data_Validation!$A:$F,6,0)</f>
        <v>#N/A</v>
      </c>
    </row>
    <row r="473" spans="1:24" ht="15.75" customHeight="1">
      <c r="A473" s="708"/>
      <c r="B473" s="708"/>
      <c r="C473" s="710"/>
      <c r="D473" s="710"/>
      <c r="E473" s="710"/>
      <c r="F473" s="708"/>
      <c r="G473" s="708"/>
      <c r="H473" s="600"/>
      <c r="I473" s="601"/>
      <c r="J473" s="601"/>
      <c r="K473" s="601"/>
      <c r="L473" s="149">
        <f t="shared" si="35"/>
        <v>0</v>
      </c>
      <c r="M473" s="150">
        <f t="shared" si="36"/>
        <v>0</v>
      </c>
      <c r="N473" s="151">
        <f>+IF(OR($Q473=Parametres!$G$2,$Q473=Parametres!$G$3),I473,C473)</f>
        <v>0</v>
      </c>
      <c r="O473" s="151">
        <f>+IF(OR($Q473=Parametres!$G$2,$Q473=Parametres!$G$3),J473,D473)</f>
        <v>0</v>
      </c>
      <c r="P473" s="151">
        <f>+IF(OR($Q473=Parametres!$G$2,$Q473=Parametres!$G$3),K473,E473)</f>
        <v>0</v>
      </c>
      <c r="Q473" s="150">
        <f t="shared" si="37"/>
        <v>0</v>
      </c>
      <c r="R473" s="149">
        <f t="shared" si="38"/>
        <v>0</v>
      </c>
      <c r="S473" s="150">
        <f t="shared" si="39"/>
        <v>0</v>
      </c>
      <c r="T473" s="152" t="e">
        <f>+VLOOKUP($L473,Data_Validation!$A:$D,1,0)</f>
        <v>#N/A</v>
      </c>
      <c r="U473" s="152" t="e">
        <f>+VLOOKUP($L473,Data_Validation!$A:$D,3,0)</f>
        <v>#N/A</v>
      </c>
      <c r="V473" s="152" t="e">
        <f>+VLOOKUP($L473,Data_Validation!$A:$D,4,0)</f>
        <v>#N/A</v>
      </c>
      <c r="W473" s="152" t="e">
        <f>+VLOOKUP($L473,Data_Validation!$A:$E,5,0)</f>
        <v>#N/A</v>
      </c>
      <c r="X473" s="152" t="e">
        <f>+VLOOKUP($L473,Data_Validation!$A:$F,6,0)</f>
        <v>#N/A</v>
      </c>
    </row>
    <row r="474" spans="1:24" ht="15" customHeight="1">
      <c r="A474" s="708"/>
      <c r="B474" s="708"/>
      <c r="C474" s="709"/>
      <c r="D474" s="709"/>
      <c r="E474" s="709"/>
      <c r="F474" s="708"/>
      <c r="G474" s="708"/>
      <c r="H474" s="709"/>
      <c r="I474" s="710"/>
      <c r="J474" s="710"/>
      <c r="K474" s="710"/>
      <c r="L474" s="149">
        <f t="shared" si="35"/>
        <v>0</v>
      </c>
      <c r="M474" s="150">
        <f t="shared" si="36"/>
        <v>0</v>
      </c>
      <c r="N474" s="151">
        <f>+IF(OR($Q474=Parametres!$G$2,$Q474=Parametres!$G$3),I474,C474)</f>
        <v>0</v>
      </c>
      <c r="O474" s="151">
        <f>+IF(OR($Q474=Parametres!$G$2,$Q474=Parametres!$G$3),J474,D474)</f>
        <v>0</v>
      </c>
      <c r="P474" s="151">
        <f>+IF(OR($Q474=Parametres!$G$2,$Q474=Parametres!$G$3),K474,E474)</f>
        <v>0</v>
      </c>
      <c r="Q474" s="150">
        <f t="shared" si="37"/>
        <v>0</v>
      </c>
      <c r="R474" s="149">
        <f t="shared" si="38"/>
        <v>0</v>
      </c>
      <c r="S474" s="150">
        <f t="shared" si="39"/>
        <v>0</v>
      </c>
      <c r="T474" s="152" t="e">
        <f>+VLOOKUP($L474,Data_Validation!$A:$D,1,0)</f>
        <v>#N/A</v>
      </c>
      <c r="U474" s="152" t="e">
        <f>+VLOOKUP($L474,Data_Validation!$A:$D,3,0)</f>
        <v>#N/A</v>
      </c>
      <c r="V474" s="152" t="e">
        <f>+VLOOKUP($L474,Data_Validation!$A:$D,4,0)</f>
        <v>#N/A</v>
      </c>
      <c r="W474" s="152" t="e">
        <f>+VLOOKUP($L474,Data_Validation!$A:$E,5,0)</f>
        <v>#N/A</v>
      </c>
      <c r="X474" s="152" t="e">
        <f>+VLOOKUP($L474,Data_Validation!$A:$F,6,0)</f>
        <v>#N/A</v>
      </c>
    </row>
    <row r="475" spans="1:24" ht="15" customHeight="1">
      <c r="A475" s="708"/>
      <c r="B475" s="708"/>
      <c r="C475" s="710"/>
      <c r="D475" s="710"/>
      <c r="E475" s="710"/>
      <c r="F475" s="708"/>
      <c r="G475" s="708"/>
      <c r="H475" s="657"/>
      <c r="I475" s="656"/>
      <c r="J475" s="656"/>
      <c r="K475" s="656"/>
      <c r="L475" s="149">
        <f t="shared" si="35"/>
        <v>0</v>
      </c>
      <c r="M475" s="150">
        <f t="shared" si="36"/>
        <v>0</v>
      </c>
      <c r="N475" s="151">
        <f>+IF(OR($Q475=Parametres!$G$2,$Q475=Parametres!$G$3),I475,C475)</f>
        <v>0</v>
      </c>
      <c r="O475" s="151">
        <f>+IF(OR($Q475=Parametres!$G$2,$Q475=Parametres!$G$3),J475,D475)</f>
        <v>0</v>
      </c>
      <c r="P475" s="151">
        <f>+IF(OR($Q475=Parametres!$G$2,$Q475=Parametres!$G$3),K475,E475)</f>
        <v>0</v>
      </c>
      <c r="Q475" s="150">
        <f t="shared" si="37"/>
        <v>0</v>
      </c>
      <c r="R475" s="149">
        <f t="shared" si="38"/>
        <v>0</v>
      </c>
      <c r="S475" s="150">
        <f t="shared" si="39"/>
        <v>0</v>
      </c>
      <c r="T475" s="152" t="e">
        <f>+VLOOKUP($L475,Data_Validation!$A:$D,1,0)</f>
        <v>#N/A</v>
      </c>
      <c r="U475" s="152" t="e">
        <f>+VLOOKUP($L475,Data_Validation!$A:$D,3,0)</f>
        <v>#N/A</v>
      </c>
      <c r="V475" s="152" t="e">
        <f>+VLOOKUP($L475,Data_Validation!$A:$D,4,0)</f>
        <v>#N/A</v>
      </c>
      <c r="W475" s="152" t="e">
        <f>+VLOOKUP($L475,Data_Validation!$A:$E,5,0)</f>
        <v>#N/A</v>
      </c>
      <c r="X475" s="152" t="e">
        <f>+VLOOKUP($L475,Data_Validation!$A:$F,6,0)</f>
        <v>#N/A</v>
      </c>
    </row>
    <row r="476" spans="1:24" ht="15" customHeight="1">
      <c r="A476" s="708"/>
      <c r="B476" s="708"/>
      <c r="C476" s="710"/>
      <c r="D476" s="710"/>
      <c r="E476" s="710"/>
      <c r="F476" s="708"/>
      <c r="G476" s="708"/>
      <c r="H476" s="664"/>
      <c r="I476" s="663"/>
      <c r="J476" s="663"/>
      <c r="K476" s="663"/>
      <c r="L476" s="149">
        <f t="shared" si="35"/>
        <v>0</v>
      </c>
      <c r="M476" s="150">
        <f t="shared" si="36"/>
        <v>0</v>
      </c>
      <c r="N476" s="151">
        <f>+IF(OR($Q476=Parametres!$G$2,$Q476=Parametres!$G$3),I476,C476)</f>
        <v>0</v>
      </c>
      <c r="O476" s="151">
        <f>+IF(OR($Q476=Parametres!$G$2,$Q476=Parametres!$G$3),J476,D476)</f>
        <v>0</v>
      </c>
      <c r="P476" s="151">
        <f>+IF(OR($Q476=Parametres!$G$2,$Q476=Parametres!$G$3),K476,E476)</f>
        <v>0</v>
      </c>
      <c r="Q476" s="150">
        <f t="shared" si="37"/>
        <v>0</v>
      </c>
      <c r="R476" s="149">
        <f t="shared" si="38"/>
        <v>0</v>
      </c>
      <c r="S476" s="150">
        <f t="shared" si="39"/>
        <v>0</v>
      </c>
      <c r="T476" s="152" t="e">
        <f>+VLOOKUP($L476,Data_Validation!$A:$D,1,0)</f>
        <v>#N/A</v>
      </c>
      <c r="U476" s="152" t="e">
        <f>+VLOOKUP($L476,Data_Validation!$A:$D,3,0)</f>
        <v>#N/A</v>
      </c>
      <c r="V476" s="152" t="e">
        <f>+VLOOKUP($L476,Data_Validation!$A:$D,4,0)</f>
        <v>#N/A</v>
      </c>
      <c r="W476" s="152" t="e">
        <f>+VLOOKUP($L476,Data_Validation!$A:$E,5,0)</f>
        <v>#N/A</v>
      </c>
      <c r="X476" s="152" t="e">
        <f>+VLOOKUP($L476,Data_Validation!$A:$F,6,0)</f>
        <v>#N/A</v>
      </c>
    </row>
    <row r="477" spans="1:24" ht="15.75" customHeight="1">
      <c r="A477" s="708"/>
      <c r="B477" s="708"/>
      <c r="C477" s="710"/>
      <c r="D477" s="710"/>
      <c r="E477" s="710"/>
      <c r="F477" s="708"/>
      <c r="G477" s="708"/>
      <c r="H477" s="664"/>
      <c r="I477" s="663"/>
      <c r="J477" s="663"/>
      <c r="K477" s="663"/>
      <c r="L477" s="149">
        <f t="shared" si="35"/>
        <v>0</v>
      </c>
      <c r="M477" s="150">
        <f t="shared" si="36"/>
        <v>0</v>
      </c>
      <c r="N477" s="151">
        <f>+IF(OR($Q477=Parametres!$G$2,$Q477=Parametres!$G$3),I477,C477)</f>
        <v>0</v>
      </c>
      <c r="O477" s="151">
        <f>+IF(OR($Q477=Parametres!$G$2,$Q477=Parametres!$G$3),J477,D477)</f>
        <v>0</v>
      </c>
      <c r="P477" s="151">
        <f>+IF(OR($Q477=Parametres!$G$2,$Q477=Parametres!$G$3),K477,E477)</f>
        <v>0</v>
      </c>
      <c r="Q477" s="150">
        <f t="shared" si="37"/>
        <v>0</v>
      </c>
      <c r="R477" s="149">
        <f t="shared" si="38"/>
        <v>0</v>
      </c>
      <c r="S477" s="150">
        <f t="shared" si="39"/>
        <v>0</v>
      </c>
      <c r="T477" s="152" t="e">
        <f>+VLOOKUP($L477,Data_Validation!$A:$D,1,0)</f>
        <v>#N/A</v>
      </c>
      <c r="U477" s="152" t="e">
        <f>+VLOOKUP($L477,Data_Validation!$A:$D,3,0)</f>
        <v>#N/A</v>
      </c>
      <c r="V477" s="152" t="e">
        <f>+VLOOKUP($L477,Data_Validation!$A:$D,4,0)</f>
        <v>#N/A</v>
      </c>
      <c r="W477" s="152" t="e">
        <f>+VLOOKUP($L477,Data_Validation!$A:$E,5,0)</f>
        <v>#N/A</v>
      </c>
      <c r="X477" s="152" t="e">
        <f>+VLOOKUP($L477,Data_Validation!$A:$F,6,0)</f>
        <v>#N/A</v>
      </c>
    </row>
    <row r="478" spans="1:24" ht="15" customHeight="1">
      <c r="A478" s="708"/>
      <c r="B478" s="708"/>
      <c r="C478" s="709"/>
      <c r="D478" s="709"/>
      <c r="E478" s="709"/>
      <c r="F478" s="708"/>
      <c r="G478" s="708"/>
      <c r="H478" s="709"/>
      <c r="I478" s="710"/>
      <c r="J478" s="710"/>
      <c r="K478" s="710"/>
      <c r="L478" s="149">
        <f t="shared" si="35"/>
        <v>0</v>
      </c>
      <c r="M478" s="150">
        <f t="shared" si="36"/>
        <v>0</v>
      </c>
      <c r="N478" s="151">
        <f>+IF(OR($Q478=Parametres!$G$2,$Q478=Parametres!$G$3),I478,C478)</f>
        <v>0</v>
      </c>
      <c r="O478" s="151">
        <f>+IF(OR($Q478=Parametres!$G$2,$Q478=Parametres!$G$3),J478,D478)</f>
        <v>0</v>
      </c>
      <c r="P478" s="151">
        <f>+IF(OR($Q478=Parametres!$G$2,$Q478=Parametres!$G$3),K478,E478)</f>
        <v>0</v>
      </c>
      <c r="Q478" s="150">
        <f t="shared" si="37"/>
        <v>0</v>
      </c>
      <c r="R478" s="149">
        <f t="shared" si="38"/>
        <v>0</v>
      </c>
      <c r="S478" s="150">
        <f t="shared" si="39"/>
        <v>0</v>
      </c>
      <c r="T478" s="152" t="e">
        <f>+VLOOKUP($L478,Data_Validation!$A:$D,1,0)</f>
        <v>#N/A</v>
      </c>
      <c r="U478" s="152" t="e">
        <f>+VLOOKUP($L478,Data_Validation!$A:$D,3,0)</f>
        <v>#N/A</v>
      </c>
      <c r="V478" s="152" t="e">
        <f>+VLOOKUP($L478,Data_Validation!$A:$D,4,0)</f>
        <v>#N/A</v>
      </c>
      <c r="W478" s="152" t="e">
        <f>+VLOOKUP($L478,Data_Validation!$A:$E,5,0)</f>
        <v>#N/A</v>
      </c>
      <c r="X478" s="152" t="e">
        <f>+VLOOKUP($L478,Data_Validation!$A:$F,6,0)</f>
        <v>#N/A</v>
      </c>
    </row>
    <row r="479" spans="1:24" ht="15" customHeight="1">
      <c r="A479" s="708"/>
      <c r="B479" s="708"/>
      <c r="C479" s="709"/>
      <c r="D479" s="709"/>
      <c r="E479" s="709"/>
      <c r="F479" s="708"/>
      <c r="G479" s="708"/>
      <c r="H479" s="709"/>
      <c r="I479" s="710"/>
      <c r="J479" s="710"/>
      <c r="K479" s="710"/>
      <c r="L479" s="149">
        <f t="shared" si="35"/>
        <v>0</v>
      </c>
      <c r="M479" s="150">
        <f t="shared" si="36"/>
        <v>0</v>
      </c>
      <c r="N479" s="151">
        <f>+IF(OR($Q479=Parametres!$G$2,$Q479=Parametres!$G$3),I479,C479)</f>
        <v>0</v>
      </c>
      <c r="O479" s="151">
        <f>+IF(OR($Q479=Parametres!$G$2,$Q479=Parametres!$G$3),J479,D479)</f>
        <v>0</v>
      </c>
      <c r="P479" s="151">
        <f>+IF(OR($Q479=Parametres!$G$2,$Q479=Parametres!$G$3),K479,E479)</f>
        <v>0</v>
      </c>
      <c r="Q479" s="150">
        <f t="shared" si="37"/>
        <v>0</v>
      </c>
      <c r="R479" s="149">
        <f t="shared" si="38"/>
        <v>0</v>
      </c>
      <c r="S479" s="150">
        <f t="shared" si="39"/>
        <v>0</v>
      </c>
      <c r="T479" s="152" t="e">
        <f>+VLOOKUP($L479,Data_Validation!$A:$D,1,0)</f>
        <v>#N/A</v>
      </c>
      <c r="U479" s="152" t="e">
        <f>+VLOOKUP($L479,Data_Validation!$A:$D,3,0)</f>
        <v>#N/A</v>
      </c>
      <c r="V479" s="152" t="e">
        <f>+VLOOKUP($L479,Data_Validation!$A:$D,4,0)</f>
        <v>#N/A</v>
      </c>
      <c r="W479" s="152" t="e">
        <f>+VLOOKUP($L479,Data_Validation!$A:$E,5,0)</f>
        <v>#N/A</v>
      </c>
      <c r="X479" s="152" t="e">
        <f>+VLOOKUP($L479,Data_Validation!$A:$F,6,0)</f>
        <v>#N/A</v>
      </c>
    </row>
    <row r="480" spans="1:24" ht="15" customHeight="1">
      <c r="A480" s="708"/>
      <c r="B480" s="708"/>
      <c r="C480" s="710"/>
      <c r="D480" s="710"/>
      <c r="E480" s="710"/>
      <c r="F480" s="708"/>
      <c r="G480" s="708"/>
      <c r="H480" s="664"/>
      <c r="I480" s="664"/>
      <c r="J480" s="664"/>
      <c r="K480" s="664"/>
      <c r="L480" s="149">
        <f t="shared" si="35"/>
        <v>0</v>
      </c>
      <c r="M480" s="150">
        <f t="shared" si="36"/>
        <v>0</v>
      </c>
      <c r="N480" s="151">
        <f>+IF(OR($Q480=Parametres!$G$2,$Q480=Parametres!$G$3),I480,C480)</f>
        <v>0</v>
      </c>
      <c r="O480" s="151">
        <f>+IF(OR($Q480=Parametres!$G$2,$Q480=Parametres!$G$3),J480,D480)</f>
        <v>0</v>
      </c>
      <c r="P480" s="151">
        <f>+IF(OR($Q480=Parametres!$G$2,$Q480=Parametres!$G$3),K480,E480)</f>
        <v>0</v>
      </c>
      <c r="Q480" s="150">
        <f t="shared" si="37"/>
        <v>0</v>
      </c>
      <c r="R480" s="149">
        <f t="shared" si="38"/>
        <v>0</v>
      </c>
      <c r="S480" s="150">
        <f t="shared" si="39"/>
        <v>0</v>
      </c>
      <c r="T480" s="152" t="e">
        <f>+VLOOKUP($L480,Data_Validation!$A:$D,1,0)</f>
        <v>#N/A</v>
      </c>
      <c r="U480" s="152" t="e">
        <f>+VLOOKUP($L480,Data_Validation!$A:$D,3,0)</f>
        <v>#N/A</v>
      </c>
      <c r="V480" s="152" t="e">
        <f>+VLOOKUP($L480,Data_Validation!$A:$D,4,0)</f>
        <v>#N/A</v>
      </c>
      <c r="W480" s="152" t="e">
        <f>+VLOOKUP($L480,Data_Validation!$A:$E,5,0)</f>
        <v>#N/A</v>
      </c>
      <c r="X480" s="152" t="e">
        <f>+VLOOKUP($L480,Data_Validation!$A:$F,6,0)</f>
        <v>#N/A</v>
      </c>
    </row>
    <row r="481" spans="1:24" ht="15" customHeight="1">
      <c r="A481" s="708"/>
      <c r="B481" s="708"/>
      <c r="C481" s="710"/>
      <c r="D481" s="710"/>
      <c r="E481" s="710"/>
      <c r="F481" s="708"/>
      <c r="G481" s="708"/>
      <c r="H481" s="664"/>
      <c r="I481" s="663"/>
      <c r="J481" s="663"/>
      <c r="K481" s="663"/>
      <c r="L481" s="149">
        <f t="shared" si="35"/>
        <v>0</v>
      </c>
      <c r="M481" s="150">
        <f t="shared" si="36"/>
        <v>0</v>
      </c>
      <c r="N481" s="151">
        <f>+IF(OR($Q481=Parametres!$G$2,$Q481=Parametres!$G$3),I481,C481)</f>
        <v>0</v>
      </c>
      <c r="O481" s="497">
        <f>+IF(OR($Q481=Parametres!$G$2,$Q481=Parametres!$G$3),J481,D481)</f>
        <v>0</v>
      </c>
      <c r="P481" s="151">
        <f>+IF(OR($Q481=Parametres!$G$2,$Q481=Parametres!$G$3),K481,E481)</f>
        <v>0</v>
      </c>
      <c r="Q481" s="150">
        <f t="shared" si="37"/>
        <v>0</v>
      </c>
      <c r="R481" s="149">
        <f t="shared" si="38"/>
        <v>0</v>
      </c>
      <c r="S481" s="150">
        <f t="shared" si="39"/>
        <v>0</v>
      </c>
      <c r="T481" s="152" t="e">
        <f>+VLOOKUP($L481,Data_Validation!$A:$D,1,0)</f>
        <v>#N/A</v>
      </c>
      <c r="U481" s="152" t="e">
        <f>+VLOOKUP($L481,Data_Validation!$A:$D,3,0)</f>
        <v>#N/A</v>
      </c>
      <c r="V481" s="152" t="e">
        <f>+VLOOKUP($L481,Data_Validation!$A:$D,4,0)</f>
        <v>#N/A</v>
      </c>
      <c r="W481" s="152" t="e">
        <f>+VLOOKUP($L481,Data_Validation!$A:$E,5,0)</f>
        <v>#N/A</v>
      </c>
      <c r="X481" s="152" t="e">
        <f>+VLOOKUP($L481,Data_Validation!$A:$F,6,0)</f>
        <v>#N/A</v>
      </c>
    </row>
    <row r="482" spans="1:24" ht="15.75" customHeight="1">
      <c r="A482" s="708"/>
      <c r="B482" s="708"/>
      <c r="C482" s="710"/>
      <c r="D482" s="710"/>
      <c r="E482" s="710"/>
      <c r="F482" s="708"/>
      <c r="G482" s="708"/>
      <c r="H482" s="602"/>
      <c r="I482" s="602"/>
      <c r="J482" s="602"/>
      <c r="K482" s="602"/>
      <c r="L482" s="149">
        <f t="shared" si="35"/>
        <v>0</v>
      </c>
      <c r="M482" s="150">
        <f t="shared" si="36"/>
        <v>0</v>
      </c>
      <c r="N482" s="151">
        <f>+IF(OR($Q482=Parametres!$G$2,$Q482=Parametres!$G$3),I482,C482)</f>
        <v>0</v>
      </c>
      <c r="O482" s="151">
        <f>+IF(OR($Q482=Parametres!$G$2,$Q482=Parametres!$G$3),J482,D482)</f>
        <v>0</v>
      </c>
      <c r="P482" s="151">
        <f>+IF(OR($Q482=Parametres!$G$2,$Q482=Parametres!$G$3),K482,E482)</f>
        <v>0</v>
      </c>
      <c r="Q482" s="150">
        <f t="shared" si="37"/>
        <v>0</v>
      </c>
      <c r="R482" s="149">
        <f t="shared" si="38"/>
        <v>0</v>
      </c>
      <c r="S482" s="150">
        <f t="shared" si="39"/>
        <v>0</v>
      </c>
      <c r="T482" s="152" t="e">
        <f>+VLOOKUP($L482,Data_Validation!$A:$D,1,0)</f>
        <v>#N/A</v>
      </c>
      <c r="U482" s="152" t="e">
        <f>+VLOOKUP($L482,Data_Validation!$A:$D,3,0)</f>
        <v>#N/A</v>
      </c>
      <c r="V482" s="152" t="e">
        <f>+VLOOKUP($L482,Data_Validation!$A:$D,4,0)</f>
        <v>#N/A</v>
      </c>
      <c r="W482" s="152" t="e">
        <f>+VLOOKUP($L482,Data_Validation!$A:$E,5,0)</f>
        <v>#N/A</v>
      </c>
      <c r="X482" s="152" t="e">
        <f>+VLOOKUP($L482,Data_Validation!$A:$F,6,0)</f>
        <v>#N/A</v>
      </c>
    </row>
    <row r="483" spans="1:24" ht="15" customHeight="1">
      <c r="A483" s="708"/>
      <c r="B483" s="708"/>
      <c r="C483" s="709"/>
      <c r="D483" s="709"/>
      <c r="E483" s="709"/>
      <c r="F483" s="708"/>
      <c r="G483" s="708"/>
      <c r="H483" s="709"/>
      <c r="I483" s="710"/>
      <c r="J483" s="710"/>
      <c r="K483" s="710"/>
      <c r="L483" s="149">
        <f t="shared" si="35"/>
        <v>0</v>
      </c>
      <c r="M483" s="150">
        <f t="shared" si="36"/>
        <v>0</v>
      </c>
      <c r="N483" s="151">
        <f>+IF(OR($Q483=Parametres!$G$2,$Q483=Parametres!$G$3),I483,C483)</f>
        <v>0</v>
      </c>
      <c r="O483" s="151">
        <f>+IF(OR($Q483=Parametres!$G$2,$Q483=Parametres!$G$3),J483,D483)</f>
        <v>0</v>
      </c>
      <c r="P483" s="151">
        <f>+IF(OR($Q483=Parametres!$G$2,$Q483=Parametres!$G$3),K483,E483)</f>
        <v>0</v>
      </c>
      <c r="Q483" s="150">
        <f t="shared" si="37"/>
        <v>0</v>
      </c>
      <c r="R483" s="149">
        <f t="shared" si="38"/>
        <v>0</v>
      </c>
      <c r="S483" s="150">
        <f t="shared" si="39"/>
        <v>0</v>
      </c>
      <c r="T483" s="152" t="e">
        <f>+VLOOKUP($L483,Data_Validation!$A:$D,1,0)</f>
        <v>#N/A</v>
      </c>
      <c r="U483" s="152" t="e">
        <f>+VLOOKUP($L483,Data_Validation!$A:$D,3,0)</f>
        <v>#N/A</v>
      </c>
      <c r="V483" s="152" t="e">
        <f>+VLOOKUP($L483,Data_Validation!$A:$D,4,0)</f>
        <v>#N/A</v>
      </c>
      <c r="W483" s="152" t="e">
        <f>+VLOOKUP($L483,Data_Validation!$A:$E,5,0)</f>
        <v>#N/A</v>
      </c>
      <c r="X483" s="152" t="e">
        <f>+VLOOKUP($L483,Data_Validation!$A:$F,6,0)</f>
        <v>#N/A</v>
      </c>
    </row>
    <row r="484" spans="1:24" ht="15" customHeight="1">
      <c r="A484" s="708"/>
      <c r="B484" s="708"/>
      <c r="C484" s="710"/>
      <c r="D484" s="710"/>
      <c r="E484" s="710"/>
      <c r="F484" s="708"/>
      <c r="G484" s="708"/>
      <c r="H484" s="664"/>
      <c r="I484" s="664"/>
      <c r="J484" s="664"/>
      <c r="K484" s="664"/>
      <c r="L484" s="149">
        <f t="shared" si="35"/>
        <v>0</v>
      </c>
      <c r="M484" s="501">
        <f t="shared" si="36"/>
        <v>0</v>
      </c>
      <c r="N484" s="151">
        <f>+IF(OR($Q484=Parametres!$G$2,$Q484=Parametres!$G$3),I484,C484)</f>
        <v>0</v>
      </c>
      <c r="O484" s="502">
        <f>+IF(OR($Q484=Parametres!$G$2,$Q484=Parametres!$G$3),J484,D484)</f>
        <v>0</v>
      </c>
      <c r="P484" s="503">
        <f>+IF(OR($Q484=Parametres!$G$2,$Q484=Parametres!$G$3),K484,E484)</f>
        <v>0</v>
      </c>
      <c r="Q484" s="150">
        <f t="shared" si="37"/>
        <v>0</v>
      </c>
      <c r="R484" s="149">
        <f t="shared" si="38"/>
        <v>0</v>
      </c>
      <c r="S484" s="150">
        <f t="shared" si="39"/>
        <v>0</v>
      </c>
      <c r="T484" s="152" t="e">
        <f>+VLOOKUP($L484,Data_Validation!$A:$D,1,0)</f>
        <v>#N/A</v>
      </c>
      <c r="U484" s="152" t="e">
        <f>+VLOOKUP($L484,Data_Validation!$A:$D,3,0)</f>
        <v>#N/A</v>
      </c>
      <c r="V484" s="152" t="e">
        <f>+VLOOKUP($L484,Data_Validation!$A:$D,4,0)</f>
        <v>#N/A</v>
      </c>
      <c r="W484" s="152" t="e">
        <f>+VLOOKUP($L484,Data_Validation!$A:$E,5,0)</f>
        <v>#N/A</v>
      </c>
      <c r="X484" s="152" t="e">
        <f>+VLOOKUP($L484,Data_Validation!$A:$F,6,0)</f>
        <v>#N/A</v>
      </c>
    </row>
    <row r="485" spans="1:24" ht="15" customHeight="1">
      <c r="A485" s="708"/>
      <c r="B485" s="708"/>
      <c r="C485" s="710"/>
      <c r="D485" s="710"/>
      <c r="E485" s="710"/>
      <c r="F485" s="708"/>
      <c r="G485" s="708"/>
      <c r="H485" s="664"/>
      <c r="I485" s="663"/>
      <c r="J485" s="663"/>
      <c r="K485" s="663"/>
      <c r="L485" s="149">
        <f t="shared" si="35"/>
        <v>0</v>
      </c>
      <c r="M485" s="150">
        <f t="shared" si="36"/>
        <v>0</v>
      </c>
      <c r="N485" s="151">
        <f>+IF(OR($Q485=Parametres!$G$2,$Q485=Parametres!$G$3),I485,C485)</f>
        <v>0</v>
      </c>
      <c r="O485" s="151">
        <f>+IF(OR($Q485=Parametres!$G$2,$Q485=Parametres!$G$3),J485,D485)</f>
        <v>0</v>
      </c>
      <c r="P485" s="151">
        <f>+IF(OR($Q485=Parametres!$G$2,$Q485=Parametres!$G$3),K485,E485)</f>
        <v>0</v>
      </c>
      <c r="Q485" s="150">
        <f t="shared" si="37"/>
        <v>0</v>
      </c>
      <c r="R485" s="149">
        <f t="shared" si="38"/>
        <v>0</v>
      </c>
      <c r="S485" s="150">
        <f t="shared" si="39"/>
        <v>0</v>
      </c>
      <c r="T485" s="152" t="e">
        <f>+VLOOKUP($L485,Data_Validation!$A:$D,1,0)</f>
        <v>#N/A</v>
      </c>
      <c r="U485" s="152" t="e">
        <f>+VLOOKUP($L485,Data_Validation!$A:$D,3,0)</f>
        <v>#N/A</v>
      </c>
      <c r="V485" s="152" t="e">
        <f>+VLOOKUP($L485,Data_Validation!$A:$D,4,0)</f>
        <v>#N/A</v>
      </c>
      <c r="W485" s="152" t="e">
        <f>+VLOOKUP($L485,Data_Validation!$A:$E,5,0)</f>
        <v>#N/A</v>
      </c>
      <c r="X485" s="152" t="e">
        <f>+VLOOKUP($L485,Data_Validation!$A:$F,6,0)</f>
        <v>#N/A</v>
      </c>
    </row>
    <row r="486" spans="1:24" ht="15.75" customHeight="1">
      <c r="A486" s="708"/>
      <c r="B486" s="708"/>
      <c r="C486" s="709"/>
      <c r="D486" s="709"/>
      <c r="E486" s="709"/>
      <c r="F486" s="708"/>
      <c r="G486" s="708"/>
      <c r="H486" s="709"/>
      <c r="I486" s="710"/>
      <c r="J486" s="710"/>
      <c r="K486" s="710"/>
      <c r="L486" s="149">
        <f t="shared" si="35"/>
        <v>0</v>
      </c>
      <c r="M486" s="150">
        <f t="shared" si="36"/>
        <v>0</v>
      </c>
      <c r="N486" s="151">
        <f>+IF(OR($Q486=Parametres!$G$2,$Q486=Parametres!$G$3),I486,C486)</f>
        <v>0</v>
      </c>
      <c r="O486" s="151">
        <f>+IF(OR($Q486=Parametres!$G$2,$Q486=Parametres!$G$3),J486,D486)</f>
        <v>0</v>
      </c>
      <c r="P486" s="151">
        <f>+IF(OR($Q486=Parametres!$G$2,$Q486=Parametres!$G$3),K486,E486)</f>
        <v>0</v>
      </c>
      <c r="Q486" s="150">
        <f t="shared" si="37"/>
        <v>0</v>
      </c>
      <c r="R486" s="149">
        <f t="shared" si="38"/>
        <v>0</v>
      </c>
      <c r="S486" s="150">
        <f t="shared" si="39"/>
        <v>0</v>
      </c>
      <c r="T486" s="152" t="e">
        <f>+VLOOKUP($L486,Data_Validation!$A:$D,1,0)</f>
        <v>#N/A</v>
      </c>
      <c r="U486" s="152" t="e">
        <f>+VLOOKUP($L486,Data_Validation!$A:$D,3,0)</f>
        <v>#N/A</v>
      </c>
      <c r="V486" s="152" t="e">
        <f>+VLOOKUP($L486,Data_Validation!$A:$D,4,0)</f>
        <v>#N/A</v>
      </c>
      <c r="W486" s="152" t="e">
        <f>+VLOOKUP($L486,Data_Validation!$A:$E,5,0)</f>
        <v>#N/A</v>
      </c>
      <c r="X486" s="152" t="e">
        <f>+VLOOKUP($L486,Data_Validation!$A:$F,6,0)</f>
        <v>#N/A</v>
      </c>
    </row>
    <row r="487" spans="1:24" ht="15" customHeight="1">
      <c r="A487" s="708"/>
      <c r="B487" s="708"/>
      <c r="C487" s="710"/>
      <c r="D487" s="710"/>
      <c r="E487" s="710"/>
      <c r="F487" s="708"/>
      <c r="G487" s="708"/>
      <c r="H487" s="657"/>
      <c r="I487" s="656"/>
      <c r="J487" s="656"/>
      <c r="K487" s="656"/>
      <c r="L487" s="149">
        <f t="shared" si="35"/>
        <v>0</v>
      </c>
      <c r="M487" s="150">
        <f t="shared" si="36"/>
        <v>0</v>
      </c>
      <c r="N487" s="151">
        <f>+IF(OR($Q487=Parametres!$G$2,$Q487=Parametres!$G$3),I487,C487)</f>
        <v>0</v>
      </c>
      <c r="O487" s="151">
        <f>+IF(OR($Q487=Parametres!$G$2,$Q487=Parametres!$G$3),J487,D487)</f>
        <v>0</v>
      </c>
      <c r="P487" s="151">
        <f>+IF(OR($Q487=Parametres!$G$2,$Q487=Parametres!$G$3),K487,E487)</f>
        <v>0</v>
      </c>
      <c r="Q487" s="150">
        <f t="shared" si="37"/>
        <v>0</v>
      </c>
      <c r="R487" s="149">
        <f t="shared" si="38"/>
        <v>0</v>
      </c>
      <c r="S487" s="150">
        <f t="shared" si="39"/>
        <v>0</v>
      </c>
      <c r="T487" s="152" t="e">
        <f>+VLOOKUP($L487,Data_Validation!$A:$D,1,0)</f>
        <v>#N/A</v>
      </c>
      <c r="U487" s="152" t="e">
        <f>+VLOOKUP($L487,Data_Validation!$A:$D,3,0)</f>
        <v>#N/A</v>
      </c>
      <c r="V487" s="152" t="e">
        <f>+VLOOKUP($L487,Data_Validation!$A:$D,4,0)</f>
        <v>#N/A</v>
      </c>
      <c r="W487" s="152" t="e">
        <f>+VLOOKUP($L487,Data_Validation!$A:$E,5,0)</f>
        <v>#N/A</v>
      </c>
      <c r="X487" s="152" t="e">
        <f>+VLOOKUP($L487,Data_Validation!$A:$F,6,0)</f>
        <v>#N/A</v>
      </c>
    </row>
    <row r="488" spans="1:24" ht="15" customHeight="1">
      <c r="A488" s="708"/>
      <c r="B488" s="708"/>
      <c r="C488" s="710"/>
      <c r="D488" s="710"/>
      <c r="E488" s="710"/>
      <c r="F488" s="708"/>
      <c r="G488" s="708"/>
      <c r="H488" s="664"/>
      <c r="I488" s="663"/>
      <c r="J488" s="663"/>
      <c r="K488" s="663"/>
      <c r="L488" s="149">
        <f t="shared" si="35"/>
        <v>0</v>
      </c>
      <c r="M488" s="150">
        <f t="shared" si="36"/>
        <v>0</v>
      </c>
      <c r="N488" s="151">
        <f>+IF(OR($Q488=Parametres!$G$2,$Q488=Parametres!$G$3),I488,C488)</f>
        <v>0</v>
      </c>
      <c r="O488" s="151">
        <f>+IF(OR($Q488=Parametres!$G$2,$Q488=Parametres!$G$3),J488,D488)</f>
        <v>0</v>
      </c>
      <c r="P488" s="151">
        <f>+IF(OR($Q488=Parametres!$G$2,$Q488=Parametres!$G$3),K488,E488)</f>
        <v>0</v>
      </c>
      <c r="Q488" s="150">
        <f t="shared" si="37"/>
        <v>0</v>
      </c>
      <c r="R488" s="149">
        <f t="shared" si="38"/>
        <v>0</v>
      </c>
      <c r="S488" s="150">
        <f t="shared" si="39"/>
        <v>0</v>
      </c>
      <c r="T488" s="152" t="e">
        <f>+VLOOKUP($L488,Data_Validation!$A:$D,1,0)</f>
        <v>#N/A</v>
      </c>
      <c r="U488" s="152" t="e">
        <f>+VLOOKUP($L488,Data_Validation!$A:$D,3,0)</f>
        <v>#N/A</v>
      </c>
      <c r="V488" s="152" t="e">
        <f>+VLOOKUP($L488,Data_Validation!$A:$D,4,0)</f>
        <v>#N/A</v>
      </c>
      <c r="W488" s="152" t="e">
        <f>+VLOOKUP($L488,Data_Validation!$A:$E,5,0)</f>
        <v>#N/A</v>
      </c>
      <c r="X488" s="152" t="e">
        <f>+VLOOKUP($L488,Data_Validation!$A:$F,6,0)</f>
        <v>#N/A</v>
      </c>
    </row>
    <row r="489" spans="1:24" ht="15" customHeight="1">
      <c r="A489" s="708"/>
      <c r="B489" s="708"/>
      <c r="C489" s="710"/>
      <c r="D489" s="710"/>
      <c r="E489" s="710"/>
      <c r="F489" s="708"/>
      <c r="G489" s="708"/>
      <c r="H489" s="657"/>
      <c r="I489" s="656"/>
      <c r="J489" s="656"/>
      <c r="K489" s="656"/>
      <c r="L489" s="149">
        <f t="shared" si="35"/>
        <v>0</v>
      </c>
      <c r="M489" s="150">
        <f t="shared" si="36"/>
        <v>0</v>
      </c>
      <c r="N489" s="151">
        <f>+IF(OR($Q489=Parametres!$G$2,$Q489=Parametres!$G$3),I489,C489)</f>
        <v>0</v>
      </c>
      <c r="O489" s="151">
        <f>+IF(OR($Q489=Parametres!$G$2,$Q489=Parametres!$G$3),J489,D489)</f>
        <v>0</v>
      </c>
      <c r="P489" s="151">
        <f>+IF(OR($Q489=Parametres!$G$2,$Q489=Parametres!$G$3),K489,E489)</f>
        <v>0</v>
      </c>
      <c r="Q489" s="150">
        <f t="shared" si="37"/>
        <v>0</v>
      </c>
      <c r="R489" s="149">
        <f t="shared" si="38"/>
        <v>0</v>
      </c>
      <c r="S489" s="150">
        <f t="shared" si="39"/>
        <v>0</v>
      </c>
      <c r="T489" s="152" t="e">
        <f>+VLOOKUP($L489,Data_Validation!$A:$D,1,0)</f>
        <v>#N/A</v>
      </c>
      <c r="U489" s="152" t="e">
        <f>+VLOOKUP($L489,Data_Validation!$A:$D,3,0)</f>
        <v>#N/A</v>
      </c>
      <c r="V489" s="152" t="e">
        <f>+VLOOKUP($L489,Data_Validation!$A:$D,4,0)</f>
        <v>#N/A</v>
      </c>
      <c r="W489" s="152" t="e">
        <f>+VLOOKUP($L489,Data_Validation!$A:$E,5,0)</f>
        <v>#N/A</v>
      </c>
      <c r="X489" s="152" t="e">
        <f>+VLOOKUP($L489,Data_Validation!$A:$F,6,0)</f>
        <v>#N/A</v>
      </c>
    </row>
    <row r="490" spans="1:24" ht="15" customHeight="1">
      <c r="A490" s="708"/>
      <c r="B490" s="708"/>
      <c r="C490" s="710"/>
      <c r="D490" s="710"/>
      <c r="E490" s="710"/>
      <c r="F490" s="708"/>
      <c r="G490" s="708"/>
      <c r="H490" s="664"/>
      <c r="I490" s="663"/>
      <c r="J490" s="663"/>
      <c r="K490" s="663"/>
      <c r="L490" s="149">
        <f t="shared" si="35"/>
        <v>0</v>
      </c>
      <c r="M490" s="150">
        <f t="shared" si="36"/>
        <v>0</v>
      </c>
      <c r="N490" s="151">
        <f>+IF(OR($Q490=Parametres!$G$2,$Q490=Parametres!$G$3),I490,C490)</f>
        <v>0</v>
      </c>
      <c r="O490" s="151">
        <f>+IF(OR($Q490=Parametres!$G$2,$Q490=Parametres!$G$3),J490,D490)</f>
        <v>0</v>
      </c>
      <c r="P490" s="151">
        <f>+IF(OR($Q490=Parametres!$G$2,$Q490=Parametres!$G$3),K490,E490)</f>
        <v>0</v>
      </c>
      <c r="Q490" s="150">
        <f t="shared" si="37"/>
        <v>0</v>
      </c>
      <c r="R490" s="149">
        <f t="shared" si="38"/>
        <v>0</v>
      </c>
      <c r="S490" s="150">
        <f t="shared" si="39"/>
        <v>0</v>
      </c>
      <c r="T490" s="152" t="e">
        <f>+VLOOKUP($L490,Data_Validation!$A:$D,1,0)</f>
        <v>#N/A</v>
      </c>
      <c r="U490" s="152" t="e">
        <f>+VLOOKUP($L490,Data_Validation!$A:$D,3,0)</f>
        <v>#N/A</v>
      </c>
      <c r="V490" s="152" t="e">
        <f>+VLOOKUP($L490,Data_Validation!$A:$D,4,0)</f>
        <v>#N/A</v>
      </c>
      <c r="W490" s="152" t="e">
        <f>+VLOOKUP($L490,Data_Validation!$A:$E,5,0)</f>
        <v>#N/A</v>
      </c>
      <c r="X490" s="152" t="e">
        <f>+VLOOKUP($L490,Data_Validation!$A:$F,6,0)</f>
        <v>#N/A</v>
      </c>
    </row>
    <row r="491" spans="1:24" ht="15.75" customHeight="1">
      <c r="A491" s="708"/>
      <c r="B491" s="708"/>
      <c r="C491" s="710"/>
      <c r="D491" s="710"/>
      <c r="E491" s="710"/>
      <c r="F491" s="708"/>
      <c r="G491" s="708"/>
      <c r="H491" s="664"/>
      <c r="I491" s="663"/>
      <c r="J491" s="663"/>
      <c r="K491" s="663"/>
      <c r="L491" s="149">
        <f t="shared" si="35"/>
        <v>0</v>
      </c>
      <c r="M491" s="150">
        <f t="shared" si="36"/>
        <v>0</v>
      </c>
      <c r="N491" s="151">
        <f>+IF(OR($Q491=Parametres!$G$2,$Q491=Parametres!$G$3),I491,C491)</f>
        <v>0</v>
      </c>
      <c r="O491" s="151">
        <f>+IF(OR($Q491=Parametres!$G$2,$Q491=Parametres!$G$3),J491,D491)</f>
        <v>0</v>
      </c>
      <c r="P491" s="151">
        <f>+IF(OR($Q491=Parametres!$G$2,$Q491=Parametres!$G$3),K491,E491)</f>
        <v>0</v>
      </c>
      <c r="Q491" s="150">
        <f t="shared" si="37"/>
        <v>0</v>
      </c>
      <c r="R491" s="149">
        <f t="shared" si="38"/>
        <v>0</v>
      </c>
      <c r="S491" s="150">
        <f t="shared" si="39"/>
        <v>0</v>
      </c>
      <c r="T491" s="152" t="e">
        <f>+VLOOKUP($L491,Data_Validation!$A:$D,1,0)</f>
        <v>#N/A</v>
      </c>
      <c r="U491" s="152" t="e">
        <f>+VLOOKUP($L491,Data_Validation!$A:$D,3,0)</f>
        <v>#N/A</v>
      </c>
      <c r="V491" s="152" t="e">
        <f>+VLOOKUP($L491,Data_Validation!$A:$D,4,0)</f>
        <v>#N/A</v>
      </c>
      <c r="W491" s="152" t="e">
        <f>+VLOOKUP($L491,Data_Validation!$A:$E,5,0)</f>
        <v>#N/A</v>
      </c>
      <c r="X491" s="152" t="e">
        <f>+VLOOKUP($L491,Data_Validation!$A:$F,6,0)</f>
        <v>#N/A</v>
      </c>
    </row>
    <row r="492" spans="1:24" ht="15" customHeight="1">
      <c r="A492" s="708"/>
      <c r="B492" s="708"/>
      <c r="C492" s="709"/>
      <c r="D492" s="709"/>
      <c r="E492" s="709"/>
      <c r="F492" s="708"/>
      <c r="G492" s="708"/>
      <c r="H492" s="709"/>
      <c r="I492" s="710"/>
      <c r="J492" s="710"/>
      <c r="K492" s="710"/>
      <c r="L492" s="149">
        <f t="shared" si="35"/>
        <v>0</v>
      </c>
      <c r="M492" s="150">
        <f t="shared" si="36"/>
        <v>0</v>
      </c>
      <c r="N492" s="151">
        <f>+IF(OR($Q492=Parametres!$G$2,$Q492=Parametres!$G$3),I492,C492)</f>
        <v>0</v>
      </c>
      <c r="O492" s="151">
        <f>+IF(OR($Q492=Parametres!$G$2,$Q492=Parametres!$G$3),J492,D492)</f>
        <v>0</v>
      </c>
      <c r="P492" s="151">
        <f>+IF(OR($Q492=Parametres!$G$2,$Q492=Parametres!$G$3),K492,E492)</f>
        <v>0</v>
      </c>
      <c r="Q492" s="150">
        <f t="shared" si="37"/>
        <v>0</v>
      </c>
      <c r="R492" s="149">
        <f t="shared" si="38"/>
        <v>0</v>
      </c>
      <c r="S492" s="150">
        <f t="shared" si="39"/>
        <v>0</v>
      </c>
      <c r="T492" s="152" t="e">
        <f>+VLOOKUP($L492,Data_Validation!$A:$D,1,0)</f>
        <v>#N/A</v>
      </c>
      <c r="U492" s="152" t="e">
        <f>+VLOOKUP($L492,Data_Validation!$A:$D,3,0)</f>
        <v>#N/A</v>
      </c>
      <c r="V492" s="152" t="e">
        <f>+VLOOKUP($L492,Data_Validation!$A:$D,4,0)</f>
        <v>#N/A</v>
      </c>
      <c r="W492" s="152" t="e">
        <f>+VLOOKUP($L492,Data_Validation!$A:$E,5,0)</f>
        <v>#N/A</v>
      </c>
      <c r="X492" s="152" t="e">
        <f>+VLOOKUP($L492,Data_Validation!$A:$F,6,0)</f>
        <v>#N/A</v>
      </c>
    </row>
    <row r="493" spans="1:24" ht="15" customHeight="1">
      <c r="A493" s="708"/>
      <c r="B493" s="708"/>
      <c r="C493" s="710"/>
      <c r="D493" s="710"/>
      <c r="E493" s="710"/>
      <c r="F493" s="708"/>
      <c r="G493" s="708"/>
      <c r="H493" s="657"/>
      <c r="I493" s="656"/>
      <c r="J493" s="656"/>
      <c r="K493" s="656"/>
      <c r="L493" s="149">
        <f t="shared" si="35"/>
        <v>0</v>
      </c>
      <c r="M493" s="150">
        <f t="shared" si="36"/>
        <v>0</v>
      </c>
      <c r="N493" s="151">
        <f>+IF(OR($Q493=Parametres!$G$2,$Q493=Parametres!$G$3),I493,C493)</f>
        <v>0</v>
      </c>
      <c r="O493" s="151">
        <f>+IF(OR($Q493=Parametres!$G$2,$Q493=Parametres!$G$3),J493,D493)</f>
        <v>0</v>
      </c>
      <c r="P493" s="151">
        <f>+IF(OR($Q493=Parametres!$G$2,$Q493=Parametres!$G$3),K493,E493)</f>
        <v>0</v>
      </c>
      <c r="Q493" s="150">
        <f t="shared" si="37"/>
        <v>0</v>
      </c>
      <c r="R493" s="149">
        <f t="shared" si="38"/>
        <v>0</v>
      </c>
      <c r="S493" s="150">
        <f t="shared" si="39"/>
        <v>0</v>
      </c>
      <c r="T493" s="152" t="e">
        <f>+VLOOKUP($L493,Data_Validation!$A:$D,1,0)</f>
        <v>#N/A</v>
      </c>
      <c r="U493" s="152" t="e">
        <f>+VLOOKUP($L493,Data_Validation!$A:$D,3,0)</f>
        <v>#N/A</v>
      </c>
      <c r="V493" s="152" t="e">
        <f>+VLOOKUP($L493,Data_Validation!$A:$D,4,0)</f>
        <v>#N/A</v>
      </c>
      <c r="W493" s="152" t="e">
        <f>+VLOOKUP($L493,Data_Validation!$A:$E,5,0)</f>
        <v>#N/A</v>
      </c>
      <c r="X493" s="152" t="e">
        <f>+VLOOKUP($L493,Data_Validation!$A:$F,6,0)</f>
        <v>#N/A</v>
      </c>
    </row>
    <row r="494" spans="1:24" ht="15" customHeight="1">
      <c r="A494" s="708"/>
      <c r="B494" s="708"/>
      <c r="C494" s="710"/>
      <c r="D494" s="710"/>
      <c r="E494" s="710"/>
      <c r="F494" s="708"/>
      <c r="G494" s="708"/>
      <c r="H494" s="657"/>
      <c r="I494" s="656"/>
      <c r="J494" s="656"/>
      <c r="K494" s="656"/>
      <c r="L494" s="149">
        <f t="shared" si="35"/>
        <v>0</v>
      </c>
      <c r="M494" s="150">
        <f t="shared" si="36"/>
        <v>0</v>
      </c>
      <c r="N494" s="151">
        <f>+IF(OR($Q494=Parametres!$G$2,$Q494=Parametres!$G$3),I494,C494)</f>
        <v>0</v>
      </c>
      <c r="O494" s="151">
        <f>+IF(OR($Q494=Parametres!$G$2,$Q494=Parametres!$G$3),J494,D494)</f>
        <v>0</v>
      </c>
      <c r="P494" s="151">
        <f>+IF(OR($Q494=Parametres!$G$2,$Q494=Parametres!$G$3),K494,E494)</f>
        <v>0</v>
      </c>
      <c r="Q494" s="150">
        <f t="shared" si="37"/>
        <v>0</v>
      </c>
      <c r="R494" s="149">
        <f t="shared" si="38"/>
        <v>0</v>
      </c>
      <c r="S494" s="150">
        <f t="shared" si="39"/>
        <v>0</v>
      </c>
      <c r="T494" s="152" t="e">
        <f>+VLOOKUP($L494,Data_Validation!$A:$D,1,0)</f>
        <v>#N/A</v>
      </c>
      <c r="U494" s="152" t="e">
        <f>+VLOOKUP($L494,Data_Validation!$A:$D,3,0)</f>
        <v>#N/A</v>
      </c>
      <c r="V494" s="152" t="e">
        <f>+VLOOKUP($L494,Data_Validation!$A:$D,4,0)</f>
        <v>#N/A</v>
      </c>
      <c r="W494" s="152" t="e">
        <f>+VLOOKUP($L494,Data_Validation!$A:$E,5,0)</f>
        <v>#N/A</v>
      </c>
      <c r="X494" s="152" t="e">
        <f>+VLOOKUP($L494,Data_Validation!$A:$F,6,0)</f>
        <v>#N/A</v>
      </c>
    </row>
    <row r="495" spans="1:24" ht="15.75" customHeight="1">
      <c r="A495" s="708"/>
      <c r="B495" s="708"/>
      <c r="C495" s="710"/>
      <c r="D495" s="710"/>
      <c r="E495" s="710"/>
      <c r="F495" s="708"/>
      <c r="G495" s="708"/>
      <c r="H495" s="657"/>
      <c r="I495" s="656"/>
      <c r="J495" s="656"/>
      <c r="K495" s="656"/>
      <c r="L495" s="149">
        <f t="shared" si="35"/>
        <v>0</v>
      </c>
      <c r="M495" s="150">
        <f t="shared" si="36"/>
        <v>0</v>
      </c>
      <c r="N495" s="151">
        <f>+IF(OR($Q495=Parametres!$G$2,$Q495=Parametres!$G$3),I495,C495)</f>
        <v>0</v>
      </c>
      <c r="O495" s="151">
        <f>+IF(OR($Q495=Parametres!$G$2,$Q495=Parametres!$G$3),J495,D495)</f>
        <v>0</v>
      </c>
      <c r="P495" s="151">
        <f>+IF(OR($Q495=Parametres!$G$2,$Q495=Parametres!$G$3),K495,E495)</f>
        <v>0</v>
      </c>
      <c r="Q495" s="150">
        <f t="shared" si="37"/>
        <v>0</v>
      </c>
      <c r="R495" s="149">
        <f t="shared" si="38"/>
        <v>0</v>
      </c>
      <c r="S495" s="150">
        <f t="shared" si="39"/>
        <v>0</v>
      </c>
      <c r="T495" s="152" t="e">
        <f>+VLOOKUP($L495,Data_Validation!$A:$D,1,0)</f>
        <v>#N/A</v>
      </c>
      <c r="U495" s="152" t="e">
        <f>+VLOOKUP($L495,Data_Validation!$A:$D,3,0)</f>
        <v>#N/A</v>
      </c>
      <c r="V495" s="152" t="e">
        <f>+VLOOKUP($L495,Data_Validation!$A:$D,4,0)</f>
        <v>#N/A</v>
      </c>
      <c r="W495" s="152" t="e">
        <f>+VLOOKUP($L495,Data_Validation!$A:$E,5,0)</f>
        <v>#N/A</v>
      </c>
      <c r="X495" s="152" t="e">
        <f>+VLOOKUP($L495,Data_Validation!$A:$F,6,0)</f>
        <v>#N/A</v>
      </c>
    </row>
    <row r="496" spans="1:24" ht="15" customHeight="1">
      <c r="A496" s="708"/>
      <c r="B496" s="708"/>
      <c r="C496" s="709"/>
      <c r="D496" s="709"/>
      <c r="E496" s="709"/>
      <c r="F496" s="708"/>
      <c r="G496" s="708"/>
      <c r="H496" s="709"/>
      <c r="I496" s="710"/>
      <c r="J496" s="710"/>
      <c r="K496" s="710"/>
      <c r="L496" s="149">
        <f t="shared" si="35"/>
        <v>0</v>
      </c>
      <c r="M496" s="150">
        <f t="shared" si="36"/>
        <v>0</v>
      </c>
      <c r="N496" s="151">
        <f>+IF(OR($Q496=Parametres!$G$2,$Q496=Parametres!$G$3),I496,C496)</f>
        <v>0</v>
      </c>
      <c r="O496" s="497">
        <f>+IF(OR($Q496=Parametres!$G$2,$Q496=Parametres!$G$3),J496,D496)</f>
        <v>0</v>
      </c>
      <c r="P496" s="151">
        <f>+IF(OR($Q496=Parametres!$G$2,$Q496=Parametres!$G$3),K496,E496)</f>
        <v>0</v>
      </c>
      <c r="Q496" s="150">
        <f t="shared" si="37"/>
        <v>0</v>
      </c>
      <c r="R496" s="149">
        <f t="shared" si="38"/>
        <v>0</v>
      </c>
      <c r="S496" s="150">
        <f t="shared" si="39"/>
        <v>0</v>
      </c>
      <c r="T496" s="152" t="e">
        <f>+VLOOKUP($L496,Data_Validation!$A:$D,1,0)</f>
        <v>#N/A</v>
      </c>
      <c r="U496" s="152" t="e">
        <f>+VLOOKUP($L496,Data_Validation!$A:$D,3,0)</f>
        <v>#N/A</v>
      </c>
      <c r="V496" s="152" t="e">
        <f>+VLOOKUP($L496,Data_Validation!$A:$D,4,0)</f>
        <v>#N/A</v>
      </c>
      <c r="W496" s="152" t="e">
        <f>+VLOOKUP($L496,Data_Validation!$A:$E,5,0)</f>
        <v>#N/A</v>
      </c>
      <c r="X496" s="152" t="e">
        <f>+VLOOKUP($L496,Data_Validation!$A:$F,6,0)</f>
        <v>#N/A</v>
      </c>
    </row>
    <row r="497" spans="1:24" ht="15" customHeight="1">
      <c r="A497" s="708"/>
      <c r="B497" s="708"/>
      <c r="C497" s="710"/>
      <c r="D497" s="710"/>
      <c r="E497" s="710"/>
      <c r="F497" s="708"/>
      <c r="G497" s="708"/>
      <c r="H497" s="600"/>
      <c r="I497" s="601"/>
      <c r="J497" s="601"/>
      <c r="K497" s="601"/>
      <c r="L497" s="149">
        <f t="shared" si="35"/>
        <v>0</v>
      </c>
      <c r="M497" s="150">
        <f t="shared" si="36"/>
        <v>0</v>
      </c>
      <c r="N497" s="151">
        <f>+IF(OR($Q497=Parametres!$G$2,$Q497=Parametres!$G$3),I497,C497)</f>
        <v>0</v>
      </c>
      <c r="O497" s="497">
        <f>+IF(OR($Q497=Parametres!$G$2,$Q497=Parametres!$G$3),J497,D497)</f>
        <v>0</v>
      </c>
      <c r="P497" s="151">
        <f>+IF(OR($Q497=Parametres!$G$2,$Q497=Parametres!$G$3),K497,E497)</f>
        <v>0</v>
      </c>
      <c r="Q497" s="150">
        <f t="shared" si="37"/>
        <v>0</v>
      </c>
      <c r="R497" s="149">
        <f t="shared" si="38"/>
        <v>0</v>
      </c>
      <c r="S497" s="150">
        <f t="shared" si="39"/>
        <v>0</v>
      </c>
      <c r="T497" s="152" t="e">
        <f>+VLOOKUP($L497,Data_Validation!$A:$D,1,0)</f>
        <v>#N/A</v>
      </c>
      <c r="U497" s="152" t="e">
        <f>+VLOOKUP($L497,Data_Validation!$A:$D,3,0)</f>
        <v>#N/A</v>
      </c>
      <c r="V497" s="152" t="e">
        <f>+VLOOKUP($L497,Data_Validation!$A:$D,4,0)</f>
        <v>#N/A</v>
      </c>
      <c r="W497" s="152" t="e">
        <f>+VLOOKUP($L497,Data_Validation!$A:$E,5,0)</f>
        <v>#N/A</v>
      </c>
      <c r="X497" s="152" t="e">
        <f>+VLOOKUP($L497,Data_Validation!$A:$F,6,0)</f>
        <v>#N/A</v>
      </c>
    </row>
    <row r="498" spans="1:24" ht="15" customHeight="1">
      <c r="A498" s="708"/>
      <c r="B498" s="708"/>
      <c r="C498" s="710"/>
      <c r="D498" s="710"/>
      <c r="E498" s="710"/>
      <c r="F498" s="708"/>
      <c r="G498" s="708"/>
      <c r="H498" s="657"/>
      <c r="I498" s="656"/>
      <c r="J498" s="656"/>
      <c r="K498" s="656"/>
      <c r="L498" s="149">
        <f t="shared" si="35"/>
        <v>0</v>
      </c>
      <c r="M498" s="150">
        <f t="shared" si="36"/>
        <v>0</v>
      </c>
      <c r="N498" s="151">
        <f>+IF(OR($Q498=Parametres!$G$2,$Q498=Parametres!$G$3),I498,C498)</f>
        <v>0</v>
      </c>
      <c r="O498" s="151">
        <f>+IF(OR($Q498=Parametres!$G$2,$Q498=Parametres!$G$3),J498,D498)</f>
        <v>0</v>
      </c>
      <c r="P498" s="151">
        <f>+IF(OR($Q498=Parametres!$G$2,$Q498=Parametres!$G$3),K498,E498)</f>
        <v>0</v>
      </c>
      <c r="Q498" s="150">
        <f t="shared" si="37"/>
        <v>0</v>
      </c>
      <c r="R498" s="149">
        <f t="shared" si="38"/>
        <v>0</v>
      </c>
      <c r="S498" s="150">
        <f t="shared" si="39"/>
        <v>0</v>
      </c>
      <c r="T498" s="152" t="e">
        <f>+VLOOKUP($L498,Data_Validation!$A:$D,1,0)</f>
        <v>#N/A</v>
      </c>
      <c r="U498" s="152" t="e">
        <f>+VLOOKUP($L498,Data_Validation!$A:$D,3,0)</f>
        <v>#N/A</v>
      </c>
      <c r="V498" s="152" t="e">
        <f>+VLOOKUP($L498,Data_Validation!$A:$D,4,0)</f>
        <v>#N/A</v>
      </c>
      <c r="W498" s="152" t="e">
        <f>+VLOOKUP($L498,Data_Validation!$A:$E,5,0)</f>
        <v>#N/A</v>
      </c>
      <c r="X498" s="152" t="e">
        <f>+VLOOKUP($L498,Data_Validation!$A:$F,6,0)</f>
        <v>#N/A</v>
      </c>
    </row>
    <row r="499" spans="1:24" ht="15" customHeight="1">
      <c r="A499" s="708"/>
      <c r="B499" s="708"/>
      <c r="C499" s="710"/>
      <c r="D499" s="710"/>
      <c r="E499" s="710"/>
      <c r="F499" s="708"/>
      <c r="G499" s="708"/>
      <c r="H499" s="600"/>
      <c r="I499" s="601"/>
      <c r="J499" s="601"/>
      <c r="K499" s="601"/>
      <c r="L499" s="149">
        <f t="shared" si="35"/>
        <v>0</v>
      </c>
      <c r="M499" s="150">
        <f t="shared" si="36"/>
        <v>0</v>
      </c>
      <c r="N499" s="151">
        <f>+IF(OR($Q499=Parametres!$G$2,$Q499=Parametres!$G$3),I499,C499)</f>
        <v>0</v>
      </c>
      <c r="O499" s="151">
        <f>+IF(OR($Q499=Parametres!$G$2,$Q499=Parametres!$G$3),J499,D499)</f>
        <v>0</v>
      </c>
      <c r="P499" s="151">
        <f>+IF(OR($Q499=Parametres!$G$2,$Q499=Parametres!$G$3),K499,E499)</f>
        <v>0</v>
      </c>
      <c r="Q499" s="150">
        <f t="shared" si="37"/>
        <v>0</v>
      </c>
      <c r="R499" s="149">
        <f t="shared" si="38"/>
        <v>0</v>
      </c>
      <c r="S499" s="150">
        <f t="shared" si="39"/>
        <v>0</v>
      </c>
      <c r="T499" s="152" t="e">
        <f>+VLOOKUP($L499,Data_Validation!$A:$D,1,0)</f>
        <v>#N/A</v>
      </c>
      <c r="U499" s="152" t="e">
        <f>+VLOOKUP($L499,Data_Validation!$A:$D,3,0)</f>
        <v>#N/A</v>
      </c>
      <c r="V499" s="152" t="e">
        <f>+VLOOKUP($L499,Data_Validation!$A:$D,4,0)</f>
        <v>#N/A</v>
      </c>
      <c r="W499" s="152" t="e">
        <f>+VLOOKUP($L499,Data_Validation!$A:$E,5,0)</f>
        <v>#N/A</v>
      </c>
      <c r="X499" s="152" t="e">
        <f>+VLOOKUP($L499,Data_Validation!$A:$F,6,0)</f>
        <v>#N/A</v>
      </c>
    </row>
    <row r="500" spans="1:24" ht="15.75" customHeight="1">
      <c r="A500" s="708"/>
      <c r="B500" s="708"/>
      <c r="C500" s="710"/>
      <c r="D500" s="710"/>
      <c r="E500" s="710"/>
      <c r="F500" s="708"/>
      <c r="G500" s="708"/>
      <c r="H500" s="709"/>
      <c r="I500" s="709"/>
      <c r="J500" s="709"/>
      <c r="K500" s="709"/>
      <c r="L500" s="149">
        <f t="shared" si="35"/>
        <v>0</v>
      </c>
      <c r="M500" s="150">
        <f t="shared" si="36"/>
        <v>0</v>
      </c>
      <c r="N500" s="151">
        <f>+IF(OR($Q500=Parametres!$G$2,$Q500=Parametres!$G$3),I500,C500)</f>
        <v>0</v>
      </c>
      <c r="O500" s="151">
        <f>+IF(OR($Q500=Parametres!$G$2,$Q500=Parametres!$G$3),J500,D500)</f>
        <v>0</v>
      </c>
      <c r="P500" s="151">
        <f>+IF(OR($Q500=Parametres!$G$2,$Q500=Parametres!$G$3),K500,E500)</f>
        <v>0</v>
      </c>
      <c r="Q500" s="150">
        <f t="shared" si="37"/>
        <v>0</v>
      </c>
      <c r="R500" s="149">
        <f t="shared" si="38"/>
        <v>0</v>
      </c>
      <c r="S500" s="150">
        <f t="shared" si="39"/>
        <v>0</v>
      </c>
      <c r="T500" s="152" t="e">
        <f>+VLOOKUP($L500,Data_Validation!$A:$D,1,0)</f>
        <v>#N/A</v>
      </c>
      <c r="U500" s="152" t="e">
        <f>+VLOOKUP($L500,Data_Validation!$A:$D,3,0)</f>
        <v>#N/A</v>
      </c>
      <c r="V500" s="152" t="e">
        <f>+VLOOKUP($L500,Data_Validation!$A:$D,4,0)</f>
        <v>#N/A</v>
      </c>
      <c r="W500" s="152" t="e">
        <f>+VLOOKUP($L500,Data_Validation!$A:$E,5,0)</f>
        <v>#N/A</v>
      </c>
      <c r="X500" s="152" t="e">
        <f>+VLOOKUP($L500,Data_Validation!$A:$F,6,0)</f>
        <v>#N/A</v>
      </c>
    </row>
    <row r="501" spans="1:24" ht="15" customHeight="1">
      <c r="A501" s="708"/>
      <c r="B501" s="708"/>
      <c r="C501" s="710"/>
      <c r="D501" s="710"/>
      <c r="E501" s="710"/>
      <c r="F501" s="708"/>
      <c r="G501" s="708"/>
      <c r="H501" s="709"/>
      <c r="I501" s="709"/>
      <c r="J501" s="709"/>
      <c r="K501" s="709"/>
      <c r="L501" s="149">
        <f t="shared" si="35"/>
        <v>0</v>
      </c>
      <c r="M501" s="150">
        <f t="shared" si="36"/>
        <v>0</v>
      </c>
      <c r="N501" s="151">
        <f>+IF(OR($Q501=Parametres!$G$2,$Q501=Parametres!$G$3),I501,C501)</f>
        <v>0</v>
      </c>
      <c r="O501" s="151">
        <f>+IF(OR($Q501=Parametres!$G$2,$Q501=Parametres!$G$3),J501,D501)</f>
        <v>0</v>
      </c>
      <c r="P501" s="151">
        <f>+IF(OR($Q501=Parametres!$G$2,$Q501=Parametres!$G$3),K501,E501)</f>
        <v>0</v>
      </c>
      <c r="Q501" s="150">
        <f t="shared" si="37"/>
        <v>0</v>
      </c>
      <c r="R501" s="149">
        <f t="shared" si="38"/>
        <v>0</v>
      </c>
      <c r="S501" s="150">
        <f t="shared" si="39"/>
        <v>0</v>
      </c>
      <c r="T501" s="152" t="e">
        <f>+VLOOKUP($L501,Data_Validation!$A:$D,1,0)</f>
        <v>#N/A</v>
      </c>
      <c r="U501" s="152" t="e">
        <f>+VLOOKUP($L501,Data_Validation!$A:$D,3,0)</f>
        <v>#N/A</v>
      </c>
      <c r="V501" s="152" t="e">
        <f>+VLOOKUP($L501,Data_Validation!$A:$D,4,0)</f>
        <v>#N/A</v>
      </c>
      <c r="W501" s="152" t="e">
        <f>+VLOOKUP($L501,Data_Validation!$A:$E,5,0)</f>
        <v>#N/A</v>
      </c>
      <c r="X501" s="152" t="e">
        <f>+VLOOKUP($L501,Data_Validation!$A:$F,6,0)</f>
        <v>#N/A</v>
      </c>
    </row>
    <row r="502" spans="1:24" ht="15" customHeight="1">
      <c r="A502" s="708"/>
      <c r="B502" s="708"/>
      <c r="C502" s="710"/>
      <c r="D502" s="710"/>
      <c r="E502" s="710"/>
      <c r="F502" s="708"/>
      <c r="G502" s="708"/>
      <c r="H502" s="600"/>
      <c r="I502" s="602"/>
      <c r="J502" s="602"/>
      <c r="K502" s="602"/>
      <c r="L502" s="149">
        <f t="shared" si="35"/>
        <v>0</v>
      </c>
      <c r="M502" s="150">
        <f t="shared" si="36"/>
        <v>0</v>
      </c>
      <c r="N502" s="151">
        <f>+IF(OR($Q502=Parametres!$G$2,$Q502=Parametres!$G$3),I502,C502)</f>
        <v>0</v>
      </c>
      <c r="O502" s="151">
        <f>+IF(OR($Q502=Parametres!$G$2,$Q502=Parametres!$G$3),J502,D502)</f>
        <v>0</v>
      </c>
      <c r="P502" s="151">
        <f>+IF(OR($Q502=Parametres!$G$2,$Q502=Parametres!$G$3),K502,E502)</f>
        <v>0</v>
      </c>
      <c r="Q502" s="150">
        <f t="shared" si="37"/>
        <v>0</v>
      </c>
      <c r="R502" s="149">
        <f t="shared" si="38"/>
        <v>0</v>
      </c>
      <c r="S502" s="150">
        <f t="shared" si="39"/>
        <v>0</v>
      </c>
      <c r="T502" s="152" t="e">
        <f>+VLOOKUP($L502,Data_Validation!$A:$D,1,0)</f>
        <v>#N/A</v>
      </c>
      <c r="U502" s="152" t="e">
        <f>+VLOOKUP($L502,Data_Validation!$A:$D,3,0)</f>
        <v>#N/A</v>
      </c>
      <c r="V502" s="152" t="e">
        <f>+VLOOKUP($L502,Data_Validation!$A:$D,4,0)</f>
        <v>#N/A</v>
      </c>
      <c r="W502" s="152" t="e">
        <f>+VLOOKUP($L502,Data_Validation!$A:$E,5,0)</f>
        <v>#N/A</v>
      </c>
      <c r="X502" s="152" t="e">
        <f>+VLOOKUP($L502,Data_Validation!$A:$F,6,0)</f>
        <v>#N/A</v>
      </c>
    </row>
    <row r="503" spans="1:24" ht="15" customHeight="1">
      <c r="A503" s="708"/>
      <c r="B503" s="708"/>
      <c r="C503" s="710"/>
      <c r="D503" s="710"/>
      <c r="E503" s="710"/>
      <c r="F503" s="708"/>
      <c r="G503" s="708"/>
      <c r="H503" s="664"/>
      <c r="I503" s="663"/>
      <c r="J503" s="663"/>
      <c r="K503" s="663"/>
      <c r="L503" s="149">
        <f t="shared" si="35"/>
        <v>0</v>
      </c>
      <c r="M503" s="150">
        <f t="shared" si="36"/>
        <v>0</v>
      </c>
      <c r="N503" s="151">
        <f>+IF(OR($Q503=Parametres!$G$2,$Q503=Parametres!$G$3),I503,C503)</f>
        <v>0</v>
      </c>
      <c r="O503" s="151">
        <f>+IF(OR($Q503=Parametres!$G$2,$Q503=Parametres!$G$3),J503,D503)</f>
        <v>0</v>
      </c>
      <c r="P503" s="151">
        <f>+IF(OR($Q503=Parametres!$G$2,$Q503=Parametres!$G$3),K503,E503)</f>
        <v>0</v>
      </c>
      <c r="Q503" s="150">
        <f t="shared" si="37"/>
        <v>0</v>
      </c>
      <c r="R503" s="149">
        <f t="shared" si="38"/>
        <v>0</v>
      </c>
      <c r="S503" s="150">
        <f t="shared" si="39"/>
        <v>0</v>
      </c>
      <c r="T503" s="152" t="e">
        <f>+VLOOKUP($L503,Data_Validation!$A:$D,1,0)</f>
        <v>#N/A</v>
      </c>
      <c r="U503" s="152" t="e">
        <f>+VLOOKUP($L503,Data_Validation!$A:$D,3,0)</f>
        <v>#N/A</v>
      </c>
      <c r="V503" s="152" t="e">
        <f>+VLOOKUP($L503,Data_Validation!$A:$D,4,0)</f>
        <v>#N/A</v>
      </c>
      <c r="W503" s="152" t="e">
        <f>+VLOOKUP($L503,Data_Validation!$A:$E,5,0)</f>
        <v>#N/A</v>
      </c>
      <c r="X503" s="152" t="e">
        <f>+VLOOKUP($L503,Data_Validation!$A:$F,6,0)</f>
        <v>#N/A</v>
      </c>
    </row>
    <row r="504" spans="1:24" ht="15" customHeight="1">
      <c r="A504" s="708"/>
      <c r="B504" s="708"/>
      <c r="C504" s="710"/>
      <c r="D504" s="710"/>
      <c r="E504" s="710"/>
      <c r="F504" s="708"/>
      <c r="G504" s="708"/>
      <c r="H504" s="657"/>
      <c r="I504" s="656"/>
      <c r="J504" s="656"/>
      <c r="K504" s="656"/>
      <c r="L504" s="149">
        <f t="shared" si="35"/>
        <v>0</v>
      </c>
      <c r="M504" s="150">
        <f t="shared" si="36"/>
        <v>0</v>
      </c>
      <c r="N504" s="151">
        <f>+IF(OR($Q504=Parametres!$G$2,$Q504=Parametres!$G$3),I504,C504)</f>
        <v>0</v>
      </c>
      <c r="O504" s="151">
        <f>+IF(OR($Q504=Parametres!$G$2,$Q504=Parametres!$G$3),J504,D504)</f>
        <v>0</v>
      </c>
      <c r="P504" s="151">
        <f>+IF(OR($Q504=Parametres!$G$2,$Q504=Parametres!$G$3),K504,E504)</f>
        <v>0</v>
      </c>
      <c r="Q504" s="150">
        <f t="shared" si="37"/>
        <v>0</v>
      </c>
      <c r="R504" s="149">
        <f t="shared" si="38"/>
        <v>0</v>
      </c>
      <c r="S504" s="150">
        <f t="shared" si="39"/>
        <v>0</v>
      </c>
      <c r="T504" s="152" t="e">
        <f>+VLOOKUP($L504,Data_Validation!$A:$D,1,0)</f>
        <v>#N/A</v>
      </c>
      <c r="U504" s="152" t="e">
        <f>+VLOOKUP($L504,Data_Validation!$A:$D,3,0)</f>
        <v>#N/A</v>
      </c>
      <c r="V504" s="152" t="e">
        <f>+VLOOKUP($L504,Data_Validation!$A:$D,4,0)</f>
        <v>#N/A</v>
      </c>
      <c r="W504" s="152" t="e">
        <f>+VLOOKUP($L504,Data_Validation!$A:$E,5,0)</f>
        <v>#N/A</v>
      </c>
      <c r="X504" s="152" t="e">
        <f>+VLOOKUP($L504,Data_Validation!$A:$F,6,0)</f>
        <v>#N/A</v>
      </c>
    </row>
    <row r="505" spans="1:24" ht="15.75" customHeight="1">
      <c r="A505" s="708"/>
      <c r="B505" s="708"/>
      <c r="C505" s="710"/>
      <c r="D505" s="710"/>
      <c r="E505" s="710"/>
      <c r="F505" s="708"/>
      <c r="G505" s="708"/>
      <c r="H505" s="600"/>
      <c r="I505" s="602"/>
      <c r="J505" s="602"/>
      <c r="K505" s="602"/>
      <c r="L505" s="149">
        <f t="shared" si="35"/>
        <v>0</v>
      </c>
      <c r="M505" s="150">
        <f t="shared" si="36"/>
        <v>0</v>
      </c>
      <c r="N505" s="151">
        <f>+IF(OR($Q505=Parametres!$G$2,$Q505=Parametres!$G$3),I505,C505)</f>
        <v>0</v>
      </c>
      <c r="O505" s="151">
        <f>+IF(OR($Q505=Parametres!$G$2,$Q505=Parametres!$G$3),J505,D505)</f>
        <v>0</v>
      </c>
      <c r="P505" s="151">
        <f>+IF(OR($Q505=Parametres!$G$2,$Q505=Parametres!$G$3),K505,E505)</f>
        <v>0</v>
      </c>
      <c r="Q505" s="150">
        <f t="shared" si="37"/>
        <v>0</v>
      </c>
      <c r="R505" s="149">
        <f t="shared" si="38"/>
        <v>0</v>
      </c>
      <c r="S505" s="150">
        <f t="shared" si="39"/>
        <v>0</v>
      </c>
      <c r="T505" s="152" t="e">
        <f>+VLOOKUP($L505,Data_Validation!$A:$D,1,0)</f>
        <v>#N/A</v>
      </c>
      <c r="U505" s="152" t="e">
        <f>+VLOOKUP($L505,Data_Validation!$A:$D,3,0)</f>
        <v>#N/A</v>
      </c>
      <c r="V505" s="152" t="e">
        <f>+VLOOKUP($L505,Data_Validation!$A:$D,4,0)</f>
        <v>#N/A</v>
      </c>
      <c r="W505" s="152" t="e">
        <f>+VLOOKUP($L505,Data_Validation!$A:$E,5,0)</f>
        <v>#N/A</v>
      </c>
      <c r="X505" s="152" t="e">
        <f>+VLOOKUP($L505,Data_Validation!$A:$F,6,0)</f>
        <v>#N/A</v>
      </c>
    </row>
    <row r="506" spans="1:24" ht="15" customHeight="1">
      <c r="A506" s="708"/>
      <c r="B506" s="708"/>
      <c r="C506" s="710"/>
      <c r="D506" s="710"/>
      <c r="E506" s="710"/>
      <c r="F506" s="708"/>
      <c r="G506" s="708"/>
      <c r="H506" s="664"/>
      <c r="I506" s="663"/>
      <c r="J506" s="663"/>
      <c r="K506" s="663"/>
      <c r="L506" s="149">
        <f t="shared" si="35"/>
        <v>0</v>
      </c>
      <c r="M506" s="150">
        <f t="shared" si="36"/>
        <v>0</v>
      </c>
      <c r="N506" s="151">
        <f>+IF(OR($Q506=Parametres!$G$2,$Q506=Parametres!$G$3),I506,C506)</f>
        <v>0</v>
      </c>
      <c r="O506" s="151">
        <f>+IF(OR($Q506=Parametres!$G$2,$Q506=Parametres!$G$3),J506,D506)</f>
        <v>0</v>
      </c>
      <c r="P506" s="151">
        <f>+IF(OR($Q506=Parametres!$G$2,$Q506=Parametres!$G$3),K506,E506)</f>
        <v>0</v>
      </c>
      <c r="Q506" s="150">
        <f t="shared" si="37"/>
        <v>0</v>
      </c>
      <c r="R506" s="149">
        <f t="shared" si="38"/>
        <v>0</v>
      </c>
      <c r="S506" s="150">
        <f t="shared" si="39"/>
        <v>0</v>
      </c>
      <c r="T506" s="152" t="e">
        <f>+VLOOKUP($L506,Data_Validation!$A:$D,1,0)</f>
        <v>#N/A</v>
      </c>
      <c r="U506" s="152" t="e">
        <f>+VLOOKUP($L506,Data_Validation!$A:$D,3,0)</f>
        <v>#N/A</v>
      </c>
      <c r="V506" s="152" t="e">
        <f>+VLOOKUP($L506,Data_Validation!$A:$D,4,0)</f>
        <v>#N/A</v>
      </c>
      <c r="W506" s="152" t="e">
        <f>+VLOOKUP($L506,Data_Validation!$A:$E,5,0)</f>
        <v>#N/A</v>
      </c>
      <c r="X506" s="152" t="e">
        <f>+VLOOKUP($L506,Data_Validation!$A:$F,6,0)</f>
        <v>#N/A</v>
      </c>
    </row>
    <row r="507" spans="1:24" ht="15" customHeight="1">
      <c r="A507" s="708"/>
      <c r="B507" s="708"/>
      <c r="C507" s="710"/>
      <c r="D507" s="710"/>
      <c r="E507" s="710"/>
      <c r="F507" s="708"/>
      <c r="G507" s="708"/>
      <c r="H507" s="664"/>
      <c r="I507" s="664"/>
      <c r="J507" s="664"/>
      <c r="K507" s="664"/>
      <c r="L507" s="149">
        <f t="shared" si="35"/>
        <v>0</v>
      </c>
      <c r="M507" s="150">
        <f t="shared" si="36"/>
        <v>0</v>
      </c>
      <c r="N507" s="151">
        <f>+IF(OR($Q507=Parametres!$G$2,$Q507=Parametres!$G$3),I507,C507)</f>
        <v>0</v>
      </c>
      <c r="O507" s="151">
        <f>+IF(OR($Q507=Parametres!$G$2,$Q507=Parametres!$G$3),J507,D507)</f>
        <v>0</v>
      </c>
      <c r="P507" s="151">
        <f>+IF(OR($Q507=Parametres!$G$2,$Q507=Parametres!$G$3),K507,E507)</f>
        <v>0</v>
      </c>
      <c r="Q507" s="150">
        <f t="shared" si="37"/>
        <v>0</v>
      </c>
      <c r="R507" s="149">
        <f t="shared" si="38"/>
        <v>0</v>
      </c>
      <c r="S507" s="150">
        <f t="shared" si="39"/>
        <v>0</v>
      </c>
      <c r="T507" s="152" t="e">
        <f>+VLOOKUP($L507,Data_Validation!$A:$D,1,0)</f>
        <v>#N/A</v>
      </c>
      <c r="U507" s="152" t="e">
        <f>+VLOOKUP($L507,Data_Validation!$A:$D,3,0)</f>
        <v>#N/A</v>
      </c>
      <c r="V507" s="152" t="e">
        <f>+VLOOKUP($L507,Data_Validation!$A:$D,4,0)</f>
        <v>#N/A</v>
      </c>
      <c r="W507" s="152" t="e">
        <f>+VLOOKUP($L507,Data_Validation!$A:$E,5,0)</f>
        <v>#N/A</v>
      </c>
      <c r="X507" s="152" t="e">
        <f>+VLOOKUP($L507,Data_Validation!$A:$F,6,0)</f>
        <v>#N/A</v>
      </c>
    </row>
    <row r="508" spans="1:24" ht="15" customHeight="1">
      <c r="A508" s="708"/>
      <c r="B508" s="708"/>
      <c r="C508" s="710"/>
      <c r="D508" s="710"/>
      <c r="E508" s="710"/>
      <c r="F508" s="708"/>
      <c r="G508" s="708"/>
      <c r="H508" s="602"/>
      <c r="I508" s="602"/>
      <c r="J508" s="602"/>
      <c r="K508" s="602"/>
      <c r="L508" s="149">
        <f t="shared" si="35"/>
        <v>0</v>
      </c>
      <c r="M508" s="150">
        <f t="shared" si="36"/>
        <v>0</v>
      </c>
      <c r="N508" s="151">
        <f>+IF(OR($Q508=Parametres!$G$2,$Q508=Parametres!$G$3),I508,C508)</f>
        <v>0</v>
      </c>
      <c r="O508" s="151">
        <f>+IF(OR($Q508=Parametres!$G$2,$Q508=Parametres!$G$3),J508,D508)</f>
        <v>0</v>
      </c>
      <c r="P508" s="151">
        <f>+IF(OR($Q508=Parametres!$G$2,$Q508=Parametres!$G$3),K508,E508)</f>
        <v>0</v>
      </c>
      <c r="Q508" s="150">
        <f t="shared" si="37"/>
        <v>0</v>
      </c>
      <c r="R508" s="149">
        <f t="shared" si="38"/>
        <v>0</v>
      </c>
      <c r="S508" s="150">
        <f t="shared" si="39"/>
        <v>0</v>
      </c>
      <c r="T508" s="152" t="e">
        <f>+VLOOKUP($L508,Data_Validation!$A:$D,1,0)</f>
        <v>#N/A</v>
      </c>
      <c r="U508" s="152" t="e">
        <f>+VLOOKUP($L508,Data_Validation!$A:$D,3,0)</f>
        <v>#N/A</v>
      </c>
      <c r="V508" s="152" t="e">
        <f>+VLOOKUP($L508,Data_Validation!$A:$D,4,0)</f>
        <v>#N/A</v>
      </c>
      <c r="W508" s="152" t="e">
        <f>+VLOOKUP($L508,Data_Validation!$A:$E,5,0)</f>
        <v>#N/A</v>
      </c>
      <c r="X508" s="152" t="e">
        <f>+VLOOKUP($L508,Data_Validation!$A:$F,6,0)</f>
        <v>#N/A</v>
      </c>
    </row>
    <row r="509" spans="1:24" ht="15.75" customHeight="1">
      <c r="A509" s="708"/>
      <c r="B509" s="708"/>
      <c r="C509" s="710"/>
      <c r="D509" s="710"/>
      <c r="E509" s="710"/>
      <c r="F509" s="708"/>
      <c r="G509" s="708"/>
      <c r="H509" s="709"/>
      <c r="I509" s="709"/>
      <c r="J509" s="709"/>
      <c r="K509" s="709"/>
      <c r="L509" s="149">
        <f t="shared" si="35"/>
        <v>0</v>
      </c>
      <c r="M509" s="150">
        <f t="shared" si="36"/>
        <v>0</v>
      </c>
      <c r="N509" s="151">
        <f>+IF(OR($Q509=Parametres!$G$2,$Q509=Parametres!$G$3),I509,C509)</f>
        <v>0</v>
      </c>
      <c r="O509" s="151">
        <f>+IF(OR($Q509=Parametres!$G$2,$Q509=Parametres!$G$3),J509,D509)</f>
        <v>0</v>
      </c>
      <c r="P509" s="151">
        <f>+IF(OR($Q509=Parametres!$G$2,$Q509=Parametres!$G$3),K509,E509)</f>
        <v>0</v>
      </c>
      <c r="Q509" s="150">
        <f t="shared" si="37"/>
        <v>0</v>
      </c>
      <c r="R509" s="149">
        <f t="shared" si="38"/>
        <v>0</v>
      </c>
      <c r="S509" s="150">
        <f t="shared" si="39"/>
        <v>0</v>
      </c>
      <c r="T509" s="152" t="e">
        <f>+VLOOKUP($L509,Data_Validation!$A:$D,1,0)</f>
        <v>#N/A</v>
      </c>
      <c r="U509" s="152" t="e">
        <f>+VLOOKUP($L509,Data_Validation!$A:$D,3,0)</f>
        <v>#N/A</v>
      </c>
      <c r="V509" s="152" t="e">
        <f>+VLOOKUP($L509,Data_Validation!$A:$D,4,0)</f>
        <v>#N/A</v>
      </c>
      <c r="W509" s="152" t="e">
        <f>+VLOOKUP($L509,Data_Validation!$A:$E,5,0)</f>
        <v>#N/A</v>
      </c>
      <c r="X509" s="152" t="e">
        <f>+VLOOKUP($L509,Data_Validation!$A:$F,6,0)</f>
        <v>#N/A</v>
      </c>
    </row>
    <row r="510" spans="1:24" ht="15" customHeight="1">
      <c r="A510" s="708"/>
      <c r="B510" s="708"/>
      <c r="C510" s="710"/>
      <c r="D510" s="710"/>
      <c r="E510" s="710"/>
      <c r="F510" s="708"/>
      <c r="G510" s="708"/>
      <c r="H510" s="664"/>
      <c r="I510" s="663"/>
      <c r="J510" s="663"/>
      <c r="K510" s="663"/>
      <c r="L510" s="149">
        <f t="shared" si="35"/>
        <v>0</v>
      </c>
      <c r="M510" s="150">
        <f t="shared" si="36"/>
        <v>0</v>
      </c>
      <c r="N510" s="151">
        <f>+IF(OR($Q510=Parametres!$G$2,$Q510=Parametres!$G$3),I510,C510)</f>
        <v>0</v>
      </c>
      <c r="O510" s="151">
        <f>+IF(OR($Q510=Parametres!$G$2,$Q510=Parametres!$G$3),J510,D510)</f>
        <v>0</v>
      </c>
      <c r="P510" s="151">
        <f>+IF(OR($Q510=Parametres!$G$2,$Q510=Parametres!$G$3),K510,E510)</f>
        <v>0</v>
      </c>
      <c r="Q510" s="150">
        <f t="shared" si="37"/>
        <v>0</v>
      </c>
      <c r="R510" s="149">
        <f t="shared" si="38"/>
        <v>0</v>
      </c>
      <c r="S510" s="150">
        <f t="shared" si="39"/>
        <v>0</v>
      </c>
      <c r="T510" s="152" t="e">
        <f>+VLOOKUP($L510,Data_Validation!$A:$D,1,0)</f>
        <v>#N/A</v>
      </c>
      <c r="U510" s="152" t="e">
        <f>+VLOOKUP($L510,Data_Validation!$A:$D,3,0)</f>
        <v>#N/A</v>
      </c>
      <c r="V510" s="152" t="e">
        <f>+VLOOKUP($L510,Data_Validation!$A:$D,4,0)</f>
        <v>#N/A</v>
      </c>
      <c r="W510" s="152" t="e">
        <f>+VLOOKUP($L510,Data_Validation!$A:$E,5,0)</f>
        <v>#N/A</v>
      </c>
      <c r="X510" s="152" t="e">
        <f>+VLOOKUP($L510,Data_Validation!$A:$F,6,0)</f>
        <v>#N/A</v>
      </c>
    </row>
    <row r="511" spans="1:24" ht="15" customHeight="1">
      <c r="A511" s="708"/>
      <c r="B511" s="708"/>
      <c r="C511" s="710"/>
      <c r="D511" s="710"/>
      <c r="E511" s="710"/>
      <c r="F511" s="708"/>
      <c r="G511" s="708"/>
      <c r="H511" s="664"/>
      <c r="I511" s="663"/>
      <c r="J511" s="663"/>
      <c r="K511" s="663"/>
      <c r="L511" s="149">
        <f t="shared" si="35"/>
        <v>0</v>
      </c>
      <c r="M511" s="150">
        <f t="shared" si="36"/>
        <v>0</v>
      </c>
      <c r="N511" s="151">
        <f>+IF(OR($Q511=Parametres!$G$2,$Q511=Parametres!$G$3),I511,C511)</f>
        <v>0</v>
      </c>
      <c r="O511" s="151">
        <f>+IF(OR($Q511=Parametres!$G$2,$Q511=Parametres!$G$3),J511,D511)</f>
        <v>0</v>
      </c>
      <c r="P511" s="151">
        <f>+IF(OR($Q511=Parametres!$G$2,$Q511=Parametres!$G$3),K511,E511)</f>
        <v>0</v>
      </c>
      <c r="Q511" s="150">
        <f t="shared" si="37"/>
        <v>0</v>
      </c>
      <c r="R511" s="149">
        <f t="shared" si="38"/>
        <v>0</v>
      </c>
      <c r="S511" s="150">
        <f t="shared" si="39"/>
        <v>0</v>
      </c>
      <c r="T511" s="152" t="e">
        <f>+VLOOKUP($L511,Data_Validation!$A:$D,1,0)</f>
        <v>#N/A</v>
      </c>
      <c r="U511" s="152" t="e">
        <f>+VLOOKUP($L511,Data_Validation!$A:$D,3,0)</f>
        <v>#N/A</v>
      </c>
      <c r="V511" s="152" t="e">
        <f>+VLOOKUP($L511,Data_Validation!$A:$D,4,0)</f>
        <v>#N/A</v>
      </c>
      <c r="W511" s="152" t="e">
        <f>+VLOOKUP($L511,Data_Validation!$A:$E,5,0)</f>
        <v>#N/A</v>
      </c>
      <c r="X511" s="152" t="e">
        <f>+VLOOKUP($L511,Data_Validation!$A:$F,6,0)</f>
        <v>#N/A</v>
      </c>
    </row>
    <row r="512" spans="1:24" ht="15" customHeight="1">
      <c r="A512" s="708"/>
      <c r="B512" s="708"/>
      <c r="C512" s="710"/>
      <c r="D512" s="710"/>
      <c r="E512" s="710"/>
      <c r="F512" s="708"/>
      <c r="G512" s="708"/>
      <c r="H512" s="600"/>
      <c r="I512" s="602"/>
      <c r="J512" s="602"/>
      <c r="K512" s="602"/>
      <c r="L512" s="149">
        <f t="shared" si="35"/>
        <v>0</v>
      </c>
      <c r="M512" s="150">
        <f t="shared" si="36"/>
        <v>0</v>
      </c>
      <c r="N512" s="151">
        <f>+IF(OR($Q512=Parametres!$G$2,$Q512=Parametres!$G$3),I512,C512)</f>
        <v>0</v>
      </c>
      <c r="O512" s="151">
        <f>+IF(OR($Q512=Parametres!$G$2,$Q512=Parametres!$G$3),J512,D512)</f>
        <v>0</v>
      </c>
      <c r="P512" s="151">
        <f>+IF(OR($Q512=Parametres!$G$2,$Q512=Parametres!$G$3),K512,E512)</f>
        <v>0</v>
      </c>
      <c r="Q512" s="150">
        <f t="shared" si="37"/>
        <v>0</v>
      </c>
      <c r="R512" s="149">
        <f t="shared" si="38"/>
        <v>0</v>
      </c>
      <c r="S512" s="150">
        <f t="shared" si="39"/>
        <v>0</v>
      </c>
      <c r="T512" s="152" t="e">
        <f>+VLOOKUP($L512,Data_Validation!$A:$D,1,0)</f>
        <v>#N/A</v>
      </c>
      <c r="U512" s="152" t="e">
        <f>+VLOOKUP($L512,Data_Validation!$A:$D,3,0)</f>
        <v>#N/A</v>
      </c>
      <c r="V512" s="152" t="e">
        <f>+VLOOKUP($L512,Data_Validation!$A:$D,4,0)</f>
        <v>#N/A</v>
      </c>
      <c r="W512" s="152" t="e">
        <f>+VLOOKUP($L512,Data_Validation!$A:$E,5,0)</f>
        <v>#N/A</v>
      </c>
      <c r="X512" s="152" t="e">
        <f>+VLOOKUP($L512,Data_Validation!$A:$F,6,0)</f>
        <v>#N/A</v>
      </c>
    </row>
    <row r="513" spans="1:24" ht="15.75" customHeight="1">
      <c r="A513" s="708"/>
      <c r="B513" s="708"/>
      <c r="C513" s="710"/>
      <c r="D513" s="710"/>
      <c r="E513" s="710"/>
      <c r="F513" s="708"/>
      <c r="G513" s="708"/>
      <c r="H513" s="664"/>
      <c r="I513" s="663"/>
      <c r="J513" s="663"/>
      <c r="K513" s="663"/>
      <c r="L513" s="149">
        <f t="shared" si="35"/>
        <v>0</v>
      </c>
      <c r="M513" s="150">
        <f t="shared" si="36"/>
        <v>0</v>
      </c>
      <c r="N513" s="151">
        <f>+IF(OR($Q513=Parametres!$G$2,$Q513=Parametres!$G$3),I513,C513)</f>
        <v>0</v>
      </c>
      <c r="O513" s="151">
        <f>+IF(OR($Q513=Parametres!$G$2,$Q513=Parametres!$G$3),J513,D513)</f>
        <v>0</v>
      </c>
      <c r="P513" s="151">
        <f>+IF(OR($Q513=Parametres!$G$2,$Q513=Parametres!$G$3),K513,E513)</f>
        <v>0</v>
      </c>
      <c r="Q513" s="150">
        <f t="shared" si="37"/>
        <v>0</v>
      </c>
      <c r="R513" s="149">
        <f t="shared" si="38"/>
        <v>0</v>
      </c>
      <c r="S513" s="150">
        <f t="shared" si="39"/>
        <v>0</v>
      </c>
      <c r="T513" s="152" t="e">
        <f>+VLOOKUP($L513,Data_Validation!$A:$D,1,0)</f>
        <v>#N/A</v>
      </c>
      <c r="U513" s="152" t="e">
        <f>+VLOOKUP($L513,Data_Validation!$A:$D,3,0)</f>
        <v>#N/A</v>
      </c>
      <c r="V513" s="152" t="e">
        <f>+VLOOKUP($L513,Data_Validation!$A:$D,4,0)</f>
        <v>#N/A</v>
      </c>
      <c r="W513" s="152" t="e">
        <f>+VLOOKUP($L513,Data_Validation!$A:$E,5,0)</f>
        <v>#N/A</v>
      </c>
      <c r="X513" s="152" t="e">
        <f>+VLOOKUP($L513,Data_Validation!$A:$F,6,0)</f>
        <v>#N/A</v>
      </c>
    </row>
    <row r="514" spans="1:24" ht="15" customHeight="1">
      <c r="A514" s="708"/>
      <c r="B514" s="708"/>
      <c r="C514" s="710"/>
      <c r="D514" s="710"/>
      <c r="E514" s="710"/>
      <c r="F514" s="708"/>
      <c r="G514" s="708"/>
      <c r="H514" s="664"/>
      <c r="I514" s="663"/>
      <c r="J514" s="663"/>
      <c r="K514" s="663"/>
      <c r="L514" s="149">
        <f t="shared" ref="L514:L577" si="40">+B514</f>
        <v>0</v>
      </c>
      <c r="M514" s="150">
        <f t="shared" ref="M514:M577" si="41">+A514</f>
        <v>0</v>
      </c>
      <c r="N514" s="151">
        <f>+IF(OR($Q514=Parametres!$G$2,$Q514=Parametres!$G$3),I514,C514)</f>
        <v>0</v>
      </c>
      <c r="O514" s="151">
        <f>+IF(OR($Q514=Parametres!$G$2,$Q514=Parametres!$G$3),J514,D514)</f>
        <v>0</v>
      </c>
      <c r="P514" s="151">
        <f>+IF(OR($Q514=Parametres!$G$2,$Q514=Parametres!$G$3),K514,E514)</f>
        <v>0</v>
      </c>
      <c r="Q514" s="150">
        <f t="shared" ref="Q514:Q577" si="42">+F514</f>
        <v>0</v>
      </c>
      <c r="R514" s="149">
        <f t="shared" ref="R514:R577" si="43">+G514</f>
        <v>0</v>
      </c>
      <c r="S514" s="150">
        <f t="shared" ref="S514:S577" si="44">+H514</f>
        <v>0</v>
      </c>
      <c r="T514" s="152" t="e">
        <f>+VLOOKUP($L514,Data_Validation!$A:$D,1,0)</f>
        <v>#N/A</v>
      </c>
      <c r="U514" s="152" t="e">
        <f>+VLOOKUP($L514,Data_Validation!$A:$D,3,0)</f>
        <v>#N/A</v>
      </c>
      <c r="V514" s="152" t="e">
        <f>+VLOOKUP($L514,Data_Validation!$A:$D,4,0)</f>
        <v>#N/A</v>
      </c>
      <c r="W514" s="152" t="e">
        <f>+VLOOKUP($L514,Data_Validation!$A:$E,5,0)</f>
        <v>#N/A</v>
      </c>
      <c r="X514" s="152" t="e">
        <f>+VLOOKUP($L514,Data_Validation!$A:$F,6,0)</f>
        <v>#N/A</v>
      </c>
    </row>
    <row r="515" spans="1:24" ht="15" customHeight="1">
      <c r="A515" s="708"/>
      <c r="B515" s="708"/>
      <c r="C515" s="710"/>
      <c r="D515" s="710"/>
      <c r="E515" s="710"/>
      <c r="F515" s="708"/>
      <c r="G515" s="708"/>
      <c r="H515" s="657"/>
      <c r="I515" s="656"/>
      <c r="J515" s="656"/>
      <c r="K515" s="656"/>
      <c r="L515" s="149">
        <f t="shared" si="40"/>
        <v>0</v>
      </c>
      <c r="M515" s="150">
        <f t="shared" si="41"/>
        <v>0</v>
      </c>
      <c r="N515" s="151">
        <f>+IF(OR($Q515=Parametres!$G$2,$Q515=Parametres!$G$3),I515,C515)</f>
        <v>0</v>
      </c>
      <c r="O515" s="151">
        <f>+IF(OR($Q515=Parametres!$G$2,$Q515=Parametres!$G$3),J515,D515)</f>
        <v>0</v>
      </c>
      <c r="P515" s="151">
        <f>+IF(OR($Q515=Parametres!$G$2,$Q515=Parametres!$G$3),K515,E515)</f>
        <v>0</v>
      </c>
      <c r="Q515" s="150">
        <f t="shared" si="42"/>
        <v>0</v>
      </c>
      <c r="R515" s="149">
        <f t="shared" si="43"/>
        <v>0</v>
      </c>
      <c r="S515" s="150">
        <f t="shared" si="44"/>
        <v>0</v>
      </c>
      <c r="T515" s="152" t="e">
        <f>+VLOOKUP($L515,Data_Validation!$A:$D,1,0)</f>
        <v>#N/A</v>
      </c>
      <c r="U515" s="152" t="e">
        <f>+VLOOKUP($L515,Data_Validation!$A:$D,3,0)</f>
        <v>#N/A</v>
      </c>
      <c r="V515" s="152" t="e">
        <f>+VLOOKUP($L515,Data_Validation!$A:$D,4,0)</f>
        <v>#N/A</v>
      </c>
      <c r="W515" s="152" t="e">
        <f>+VLOOKUP($L515,Data_Validation!$A:$E,5,0)</f>
        <v>#N/A</v>
      </c>
      <c r="X515" s="152" t="e">
        <f>+VLOOKUP($L515,Data_Validation!$A:$F,6,0)</f>
        <v>#N/A</v>
      </c>
    </row>
    <row r="516" spans="1:24" ht="15" customHeight="1">
      <c r="A516" s="708"/>
      <c r="B516" s="708"/>
      <c r="C516" s="710"/>
      <c r="D516" s="710"/>
      <c r="E516" s="710"/>
      <c r="F516" s="708"/>
      <c r="G516" s="708"/>
      <c r="H516" s="657"/>
      <c r="I516" s="656"/>
      <c r="J516" s="656"/>
      <c r="K516" s="656"/>
      <c r="L516" s="149">
        <f t="shared" si="40"/>
        <v>0</v>
      </c>
      <c r="M516" s="150">
        <f t="shared" si="41"/>
        <v>0</v>
      </c>
      <c r="N516" s="151">
        <f>+IF(OR($Q516=Parametres!$G$2,$Q516=Parametres!$G$3),I516,C516)</f>
        <v>0</v>
      </c>
      <c r="O516" s="151">
        <f>+IF(OR($Q516=Parametres!$G$2,$Q516=Parametres!$G$3),J516,D516)</f>
        <v>0</v>
      </c>
      <c r="P516" s="151">
        <f>+IF(OR($Q516=Parametres!$G$2,$Q516=Parametres!$G$3),K516,E516)</f>
        <v>0</v>
      </c>
      <c r="Q516" s="150">
        <f t="shared" si="42"/>
        <v>0</v>
      </c>
      <c r="R516" s="149">
        <f t="shared" si="43"/>
        <v>0</v>
      </c>
      <c r="S516" s="150">
        <f t="shared" si="44"/>
        <v>0</v>
      </c>
      <c r="T516" s="152" t="e">
        <f>+VLOOKUP($L516,Data_Validation!$A:$D,1,0)</f>
        <v>#N/A</v>
      </c>
      <c r="U516" s="152" t="e">
        <f>+VLOOKUP($L516,Data_Validation!$A:$D,3,0)</f>
        <v>#N/A</v>
      </c>
      <c r="V516" s="152" t="e">
        <f>+VLOOKUP($L516,Data_Validation!$A:$D,4,0)</f>
        <v>#N/A</v>
      </c>
      <c r="W516" s="152" t="e">
        <f>+VLOOKUP($L516,Data_Validation!$A:$E,5,0)</f>
        <v>#N/A</v>
      </c>
      <c r="X516" s="152" t="e">
        <f>+VLOOKUP($L516,Data_Validation!$A:$F,6,0)</f>
        <v>#N/A</v>
      </c>
    </row>
    <row r="517" spans="1:24" ht="15.75" customHeight="1">
      <c r="A517" s="708"/>
      <c r="B517" s="708"/>
      <c r="C517" s="710"/>
      <c r="D517" s="710"/>
      <c r="E517" s="710"/>
      <c r="F517" s="708"/>
      <c r="G517" s="708"/>
      <c r="H517" s="664"/>
      <c r="I517" s="664"/>
      <c r="J517" s="664"/>
      <c r="K517" s="664"/>
      <c r="L517" s="149">
        <f t="shared" si="40"/>
        <v>0</v>
      </c>
      <c r="M517" s="150">
        <f t="shared" si="41"/>
        <v>0</v>
      </c>
      <c r="N517" s="151">
        <f>+IF(OR($Q517=Parametres!$G$2,$Q517=Parametres!$G$3),I517,C517)</f>
        <v>0</v>
      </c>
      <c r="O517" s="151">
        <f>+IF(OR($Q517=Parametres!$G$2,$Q517=Parametres!$G$3),J517,D517)</f>
        <v>0</v>
      </c>
      <c r="P517" s="151">
        <f>+IF(OR($Q517=Parametres!$G$2,$Q517=Parametres!$G$3),K517,E517)</f>
        <v>0</v>
      </c>
      <c r="Q517" s="150">
        <f t="shared" si="42"/>
        <v>0</v>
      </c>
      <c r="R517" s="149">
        <f t="shared" si="43"/>
        <v>0</v>
      </c>
      <c r="S517" s="150">
        <f t="shared" si="44"/>
        <v>0</v>
      </c>
      <c r="T517" s="152" t="e">
        <f>+VLOOKUP($L517,Data_Validation!$A:$D,1,0)</f>
        <v>#N/A</v>
      </c>
      <c r="U517" s="152" t="e">
        <f>+VLOOKUP($L517,Data_Validation!$A:$D,3,0)</f>
        <v>#N/A</v>
      </c>
      <c r="V517" s="152" t="e">
        <f>+VLOOKUP($L517,Data_Validation!$A:$D,4,0)</f>
        <v>#N/A</v>
      </c>
      <c r="W517" s="152" t="e">
        <f>+VLOOKUP($L517,Data_Validation!$A:$E,5,0)</f>
        <v>#N/A</v>
      </c>
      <c r="X517" s="152" t="e">
        <f>+VLOOKUP($L517,Data_Validation!$A:$F,6,0)</f>
        <v>#N/A</v>
      </c>
    </row>
    <row r="518" spans="1:24" ht="15" customHeight="1">
      <c r="A518" s="708"/>
      <c r="B518" s="708"/>
      <c r="C518" s="710"/>
      <c r="D518" s="710"/>
      <c r="E518" s="710"/>
      <c r="F518" s="708"/>
      <c r="G518" s="708"/>
      <c r="H518" s="657"/>
      <c r="I518" s="656"/>
      <c r="J518" s="656"/>
      <c r="K518" s="656"/>
      <c r="L518" s="149">
        <f t="shared" si="40"/>
        <v>0</v>
      </c>
      <c r="M518" s="150">
        <f t="shared" si="41"/>
        <v>0</v>
      </c>
      <c r="N518" s="151">
        <f>+IF(OR($Q518=Parametres!$G$2,$Q518=Parametres!$G$3),I518,C518)</f>
        <v>0</v>
      </c>
      <c r="O518" s="151">
        <f>+IF(OR($Q518=Parametres!$G$2,$Q518=Parametres!$G$3),J518,D518)</f>
        <v>0</v>
      </c>
      <c r="P518" s="151">
        <f>+IF(OR($Q518=Parametres!$G$2,$Q518=Parametres!$G$3),K518,E518)</f>
        <v>0</v>
      </c>
      <c r="Q518" s="150">
        <f t="shared" si="42"/>
        <v>0</v>
      </c>
      <c r="R518" s="149">
        <f t="shared" si="43"/>
        <v>0</v>
      </c>
      <c r="S518" s="150">
        <f t="shared" si="44"/>
        <v>0</v>
      </c>
      <c r="T518" s="152" t="e">
        <f>+VLOOKUP($L518,Data_Validation!$A:$D,1,0)</f>
        <v>#N/A</v>
      </c>
      <c r="U518" s="152" t="e">
        <f>+VLOOKUP($L518,Data_Validation!$A:$D,3,0)</f>
        <v>#N/A</v>
      </c>
      <c r="V518" s="152" t="e">
        <f>+VLOOKUP($L518,Data_Validation!$A:$D,4,0)</f>
        <v>#N/A</v>
      </c>
      <c r="W518" s="152" t="e">
        <f>+VLOOKUP($L518,Data_Validation!$A:$E,5,0)</f>
        <v>#N/A</v>
      </c>
      <c r="X518" s="152" t="e">
        <f>+VLOOKUP($L518,Data_Validation!$A:$F,6,0)</f>
        <v>#N/A</v>
      </c>
    </row>
    <row r="519" spans="1:24" ht="15" customHeight="1">
      <c r="A519" s="708"/>
      <c r="B519" s="708"/>
      <c r="C519" s="710"/>
      <c r="D519" s="710"/>
      <c r="E519" s="710"/>
      <c r="F519" s="708"/>
      <c r="G519" s="708"/>
      <c r="H519" s="664"/>
      <c r="I519" s="663"/>
      <c r="J519" s="663"/>
      <c r="K519" s="663"/>
      <c r="L519" s="149">
        <f t="shared" si="40"/>
        <v>0</v>
      </c>
      <c r="M519" s="150">
        <f t="shared" si="41"/>
        <v>0</v>
      </c>
      <c r="N519" s="151">
        <f>+IF(OR($Q519=Parametres!$G$2,$Q519=Parametres!$G$3),I519,C519)</f>
        <v>0</v>
      </c>
      <c r="O519" s="151">
        <f>+IF(OR($Q519=Parametres!$G$2,$Q519=Parametres!$G$3),J519,D519)</f>
        <v>0</v>
      </c>
      <c r="P519" s="151">
        <f>+IF(OR($Q519=Parametres!$G$2,$Q519=Parametres!$G$3),K519,E519)</f>
        <v>0</v>
      </c>
      <c r="Q519" s="150">
        <f t="shared" si="42"/>
        <v>0</v>
      </c>
      <c r="R519" s="149">
        <f t="shared" si="43"/>
        <v>0</v>
      </c>
      <c r="S519" s="150">
        <f t="shared" si="44"/>
        <v>0</v>
      </c>
      <c r="T519" s="152" t="e">
        <f>+VLOOKUP($L519,Data_Validation!$A:$D,1,0)</f>
        <v>#N/A</v>
      </c>
      <c r="U519" s="152" t="e">
        <f>+VLOOKUP($L519,Data_Validation!$A:$D,3,0)</f>
        <v>#N/A</v>
      </c>
      <c r="V519" s="152" t="e">
        <f>+VLOOKUP($L519,Data_Validation!$A:$D,4,0)</f>
        <v>#N/A</v>
      </c>
      <c r="W519" s="152" t="e">
        <f>+VLOOKUP($L519,Data_Validation!$A:$E,5,0)</f>
        <v>#N/A</v>
      </c>
      <c r="X519" s="152" t="e">
        <f>+VLOOKUP($L519,Data_Validation!$A:$F,6,0)</f>
        <v>#N/A</v>
      </c>
    </row>
    <row r="520" spans="1:24" ht="15" customHeight="1">
      <c r="A520" s="708"/>
      <c r="B520" s="708"/>
      <c r="C520" s="710"/>
      <c r="D520" s="710"/>
      <c r="E520" s="710"/>
      <c r="F520" s="708"/>
      <c r="G520" s="708"/>
      <c r="H520" s="664"/>
      <c r="I520" s="663"/>
      <c r="J520" s="663"/>
      <c r="K520" s="663"/>
      <c r="L520" s="149">
        <f t="shared" si="40"/>
        <v>0</v>
      </c>
      <c r="M520" s="150">
        <f t="shared" si="41"/>
        <v>0</v>
      </c>
      <c r="N520" s="151">
        <f>+IF(OR($Q520=Parametres!$G$2,$Q520=Parametres!$G$3),I520,C520)</f>
        <v>0</v>
      </c>
      <c r="O520" s="151">
        <f>+IF(OR($Q520=Parametres!$G$2,$Q520=Parametres!$G$3),J520,D520)</f>
        <v>0</v>
      </c>
      <c r="P520" s="151">
        <f>+IF(OR($Q520=Parametres!$G$2,$Q520=Parametres!$G$3),K520,E520)</f>
        <v>0</v>
      </c>
      <c r="Q520" s="150">
        <f t="shared" si="42"/>
        <v>0</v>
      </c>
      <c r="R520" s="149">
        <f t="shared" si="43"/>
        <v>0</v>
      </c>
      <c r="S520" s="150">
        <f t="shared" si="44"/>
        <v>0</v>
      </c>
      <c r="T520" s="152" t="e">
        <f>+VLOOKUP($L520,Data_Validation!$A:$D,1,0)</f>
        <v>#N/A</v>
      </c>
      <c r="U520" s="152" t="e">
        <f>+VLOOKUP($L520,Data_Validation!$A:$D,3,0)</f>
        <v>#N/A</v>
      </c>
      <c r="V520" s="152" t="e">
        <f>+VLOOKUP($L520,Data_Validation!$A:$D,4,0)</f>
        <v>#N/A</v>
      </c>
      <c r="W520" s="152" t="e">
        <f>+VLOOKUP($L520,Data_Validation!$A:$E,5,0)</f>
        <v>#N/A</v>
      </c>
      <c r="X520" s="152" t="e">
        <f>+VLOOKUP($L520,Data_Validation!$A:$F,6,0)</f>
        <v>#N/A</v>
      </c>
    </row>
    <row r="521" spans="1:24" ht="15.75" customHeight="1">
      <c r="A521" s="708"/>
      <c r="B521" s="708"/>
      <c r="C521" s="710"/>
      <c r="D521" s="710"/>
      <c r="E521" s="710"/>
      <c r="F521" s="708"/>
      <c r="G521" s="708"/>
      <c r="H521" s="600"/>
      <c r="I521" s="153"/>
      <c r="J521" s="153"/>
      <c r="K521" s="153"/>
      <c r="L521" s="149">
        <f t="shared" si="40"/>
        <v>0</v>
      </c>
      <c r="M521" s="150">
        <f t="shared" si="41"/>
        <v>0</v>
      </c>
      <c r="N521" s="151">
        <f>+IF(OR($Q521=Parametres!$G$2,$Q521=Parametres!$G$3),I521,C521)</f>
        <v>0</v>
      </c>
      <c r="O521" s="151">
        <f>+IF(OR($Q521=Parametres!$G$2,$Q521=Parametres!$G$3),J521,D521)</f>
        <v>0</v>
      </c>
      <c r="P521" s="151">
        <f>+IF(OR($Q521=Parametres!$G$2,$Q521=Parametres!$G$3),K521,E521)</f>
        <v>0</v>
      </c>
      <c r="Q521" s="150">
        <f t="shared" si="42"/>
        <v>0</v>
      </c>
      <c r="R521" s="149">
        <f t="shared" si="43"/>
        <v>0</v>
      </c>
      <c r="S521" s="150">
        <f t="shared" si="44"/>
        <v>0</v>
      </c>
      <c r="T521" s="152" t="e">
        <f>+VLOOKUP($L521,Data_Validation!$A:$D,1,0)</f>
        <v>#N/A</v>
      </c>
      <c r="U521" s="152" t="e">
        <f>+VLOOKUP($L521,Data_Validation!$A:$D,3,0)</f>
        <v>#N/A</v>
      </c>
      <c r="V521" s="152" t="e">
        <f>+VLOOKUP($L521,Data_Validation!$A:$D,4,0)</f>
        <v>#N/A</v>
      </c>
      <c r="W521" s="152" t="e">
        <f>+VLOOKUP($L521,Data_Validation!$A:$E,5,0)</f>
        <v>#N/A</v>
      </c>
      <c r="X521" s="152" t="e">
        <f>+VLOOKUP($L521,Data_Validation!$A:$F,6,0)</f>
        <v>#N/A</v>
      </c>
    </row>
    <row r="522" spans="1:24" ht="15" customHeight="1">
      <c r="A522" s="708"/>
      <c r="B522" s="708"/>
      <c r="C522" s="710"/>
      <c r="D522" s="710"/>
      <c r="E522" s="710"/>
      <c r="F522" s="708"/>
      <c r="G522" s="708"/>
      <c r="H522" s="600"/>
      <c r="I522" s="602"/>
      <c r="J522" s="602"/>
      <c r="K522" s="602"/>
      <c r="L522" s="149">
        <f t="shared" si="40"/>
        <v>0</v>
      </c>
      <c r="M522" s="150">
        <f t="shared" si="41"/>
        <v>0</v>
      </c>
      <c r="N522" s="151">
        <f>+IF(OR($Q522=Parametres!$G$2,$Q522=Parametres!$G$3),I522,C522)</f>
        <v>0</v>
      </c>
      <c r="O522" s="497">
        <f>+IF(OR($Q522=Parametres!$G$2,$Q522=Parametres!$G$3),J522,D522)</f>
        <v>0</v>
      </c>
      <c r="P522" s="151">
        <f>+IF(OR($Q522=Parametres!$G$2,$Q522=Parametres!$G$3),K522,E522)</f>
        <v>0</v>
      </c>
      <c r="Q522" s="150">
        <f t="shared" si="42"/>
        <v>0</v>
      </c>
      <c r="R522" s="149">
        <f t="shared" si="43"/>
        <v>0</v>
      </c>
      <c r="S522" s="150">
        <f t="shared" si="44"/>
        <v>0</v>
      </c>
      <c r="T522" s="152" t="e">
        <f>+VLOOKUP($L522,Data_Validation!$A:$D,1,0)</f>
        <v>#N/A</v>
      </c>
      <c r="U522" s="152" t="e">
        <f>+VLOOKUP($L522,Data_Validation!$A:$D,3,0)</f>
        <v>#N/A</v>
      </c>
      <c r="V522" s="152" t="e">
        <f>+VLOOKUP($L522,Data_Validation!$A:$D,4,0)</f>
        <v>#N/A</v>
      </c>
      <c r="W522" s="152" t="e">
        <f>+VLOOKUP($L522,Data_Validation!$A:$E,5,0)</f>
        <v>#N/A</v>
      </c>
      <c r="X522" s="152" t="e">
        <f>+VLOOKUP($L522,Data_Validation!$A:$F,6,0)</f>
        <v>#N/A</v>
      </c>
    </row>
    <row r="523" spans="1:24" ht="15" customHeight="1">
      <c r="A523" s="708"/>
      <c r="B523" s="708"/>
      <c r="C523" s="710"/>
      <c r="D523" s="710"/>
      <c r="E523" s="710"/>
      <c r="F523" s="708"/>
      <c r="G523" s="708"/>
      <c r="H523" s="602"/>
      <c r="I523" s="601"/>
      <c r="J523" s="601"/>
      <c r="K523" s="601"/>
      <c r="L523" s="149">
        <f t="shared" si="40"/>
        <v>0</v>
      </c>
      <c r="M523" s="150">
        <f t="shared" si="41"/>
        <v>0</v>
      </c>
      <c r="N523" s="151">
        <f>+IF(OR($Q523=Parametres!$G$2,$Q523=Parametres!$G$3),I523,C523)</f>
        <v>0</v>
      </c>
      <c r="O523" s="497">
        <f>+IF(OR($Q523=Parametres!$G$2,$Q523=Parametres!$G$3),J523,D523)</f>
        <v>0</v>
      </c>
      <c r="P523" s="151">
        <f>+IF(OR($Q523=Parametres!$G$2,$Q523=Parametres!$G$3),K523,E523)</f>
        <v>0</v>
      </c>
      <c r="Q523" s="150">
        <f t="shared" si="42"/>
        <v>0</v>
      </c>
      <c r="R523" s="149">
        <f t="shared" si="43"/>
        <v>0</v>
      </c>
      <c r="S523" s="150">
        <f t="shared" si="44"/>
        <v>0</v>
      </c>
      <c r="T523" s="152" t="e">
        <f>+VLOOKUP($L523,Data_Validation!$A:$D,1,0)</f>
        <v>#N/A</v>
      </c>
      <c r="U523" s="152" t="e">
        <f>+VLOOKUP($L523,Data_Validation!$A:$D,3,0)</f>
        <v>#N/A</v>
      </c>
      <c r="V523" s="152" t="e">
        <f>+VLOOKUP($L523,Data_Validation!$A:$D,4,0)</f>
        <v>#N/A</v>
      </c>
      <c r="W523" s="152" t="e">
        <f>+VLOOKUP($L523,Data_Validation!$A:$E,5,0)</f>
        <v>#N/A</v>
      </c>
      <c r="X523" s="152" t="e">
        <f>+VLOOKUP($L523,Data_Validation!$A:$F,6,0)</f>
        <v>#N/A</v>
      </c>
    </row>
    <row r="524" spans="1:24" ht="15" customHeight="1">
      <c r="A524" s="708"/>
      <c r="B524" s="708"/>
      <c r="C524" s="709"/>
      <c r="D524" s="709"/>
      <c r="E524" s="709"/>
      <c r="F524" s="708"/>
      <c r="G524" s="708"/>
      <c r="H524" s="709"/>
      <c r="I524" s="710"/>
      <c r="J524" s="710"/>
      <c r="K524" s="710"/>
      <c r="L524" s="149">
        <f t="shared" si="40"/>
        <v>0</v>
      </c>
      <c r="M524" s="150">
        <f t="shared" si="41"/>
        <v>0</v>
      </c>
      <c r="N524" s="151">
        <f>+IF(OR($Q524=Parametres!$G$2,$Q524=Parametres!$G$3),I524,C524)</f>
        <v>0</v>
      </c>
      <c r="O524" s="151">
        <f>+IF(OR($Q524=Parametres!$G$2,$Q524=Parametres!$G$3),J524,D524)</f>
        <v>0</v>
      </c>
      <c r="P524" s="151">
        <f>+IF(OR($Q524=Parametres!$G$2,$Q524=Parametres!$G$3),K524,E524)</f>
        <v>0</v>
      </c>
      <c r="Q524" s="150">
        <f t="shared" si="42"/>
        <v>0</v>
      </c>
      <c r="R524" s="149">
        <f t="shared" si="43"/>
        <v>0</v>
      </c>
      <c r="S524" s="150">
        <f t="shared" si="44"/>
        <v>0</v>
      </c>
      <c r="T524" s="152" t="e">
        <f>+VLOOKUP($L524,Data_Validation!$A:$E,1,0)</f>
        <v>#N/A</v>
      </c>
      <c r="U524" s="152" t="e">
        <f>+VLOOKUP($L524,Data_Validation!$A:$E,3,0)</f>
        <v>#N/A</v>
      </c>
      <c r="V524" s="152" t="e">
        <f>+VLOOKUP($L524,Data_Validation!$A:$E,4,0)</f>
        <v>#N/A</v>
      </c>
      <c r="W524" s="152" t="e">
        <f>VLOOKUP($L524,Data_Validation!$A:$E,5,FALSE)</f>
        <v>#N/A</v>
      </c>
      <c r="X524" s="152" t="e">
        <f>+VLOOKUP($L524,Data_Validation!$A:$F,6,0)</f>
        <v>#N/A</v>
      </c>
    </row>
    <row r="525" spans="1:24" ht="15" customHeight="1">
      <c r="A525" s="708"/>
      <c r="B525" s="708"/>
      <c r="C525" s="710"/>
      <c r="D525" s="710"/>
      <c r="E525" s="710"/>
      <c r="F525" s="708"/>
      <c r="G525" s="708"/>
      <c r="H525" s="600"/>
      <c r="I525" s="153"/>
      <c r="J525" s="153"/>
      <c r="K525" s="153"/>
      <c r="L525" s="149">
        <f t="shared" si="40"/>
        <v>0</v>
      </c>
      <c r="M525" s="150">
        <f t="shared" si="41"/>
        <v>0</v>
      </c>
      <c r="N525" s="151">
        <f>+IF(OR($Q525=Parametres!$G$2,$Q525=Parametres!$G$3),I525,C525)</f>
        <v>0</v>
      </c>
      <c r="O525" s="151">
        <f>+IF(OR($Q525=Parametres!$G$2,$Q525=Parametres!$G$3),J525,D525)</f>
        <v>0</v>
      </c>
      <c r="P525" s="151">
        <f>+IF(OR($Q525=Parametres!$G$2,$Q525=Parametres!$G$3),K525,E525)</f>
        <v>0</v>
      </c>
      <c r="Q525" s="150">
        <f t="shared" si="42"/>
        <v>0</v>
      </c>
      <c r="R525" s="149">
        <f t="shared" si="43"/>
        <v>0</v>
      </c>
      <c r="S525" s="150">
        <f t="shared" si="44"/>
        <v>0</v>
      </c>
      <c r="T525" s="152" t="e">
        <f>+VLOOKUP($L525,Data_Validation!$A:$D,1,0)</f>
        <v>#N/A</v>
      </c>
      <c r="U525" s="152" t="e">
        <f>+VLOOKUP($L525,Data_Validation!$A:$D,3,0)</f>
        <v>#N/A</v>
      </c>
      <c r="V525" s="152" t="e">
        <f>+VLOOKUP($L525,Data_Validation!$A:$D,4,0)</f>
        <v>#N/A</v>
      </c>
      <c r="W525" s="152" t="e">
        <f>+VLOOKUP($L525,Data_Validation!$A:$E,5,0)</f>
        <v>#N/A</v>
      </c>
      <c r="X525" s="152" t="e">
        <f>+VLOOKUP($L525,Data_Validation!$A:$F,6,0)</f>
        <v>#N/A</v>
      </c>
    </row>
    <row r="526" spans="1:24" ht="15.75" customHeight="1">
      <c r="A526" s="708"/>
      <c r="B526" s="708"/>
      <c r="C526" s="710"/>
      <c r="D526" s="710"/>
      <c r="E526" s="710"/>
      <c r="F526" s="708"/>
      <c r="G526" s="708"/>
      <c r="H526" s="602"/>
      <c r="I526" s="601"/>
      <c r="J526" s="601"/>
      <c r="K526" s="601"/>
      <c r="L526" s="149">
        <f t="shared" si="40"/>
        <v>0</v>
      </c>
      <c r="M526" s="150">
        <f t="shared" si="41"/>
        <v>0</v>
      </c>
      <c r="N526" s="151">
        <f>+IF(OR($Q526=Parametres!$G$2,$Q526=Parametres!$G$3),I526,C526)</f>
        <v>0</v>
      </c>
      <c r="O526" s="151">
        <f>+IF(OR($Q526=Parametres!$G$2,$Q526=Parametres!$G$3),J526,D526)</f>
        <v>0</v>
      </c>
      <c r="P526" s="151">
        <f>+IF(OR($Q526=Parametres!$G$2,$Q526=Parametres!$G$3),K526,E526)</f>
        <v>0</v>
      </c>
      <c r="Q526" s="150">
        <f t="shared" si="42"/>
        <v>0</v>
      </c>
      <c r="R526" s="149">
        <f t="shared" si="43"/>
        <v>0</v>
      </c>
      <c r="S526" s="150">
        <f t="shared" si="44"/>
        <v>0</v>
      </c>
      <c r="T526" s="152" t="e">
        <f>+VLOOKUP($L526,Data_Validation!$A:$D,1,0)</f>
        <v>#N/A</v>
      </c>
      <c r="U526" s="152" t="e">
        <f>+VLOOKUP($L526,Data_Validation!$A:$D,3,0)</f>
        <v>#N/A</v>
      </c>
      <c r="V526" s="152" t="e">
        <f>+VLOOKUP($L526,Data_Validation!$A:$D,4,0)</f>
        <v>#N/A</v>
      </c>
      <c r="W526" s="152" t="e">
        <f>+VLOOKUP($L526,Data_Validation!$A:$E,5,0)</f>
        <v>#N/A</v>
      </c>
      <c r="X526" s="152" t="e">
        <f>+VLOOKUP($L526,Data_Validation!$A:$F,6,0)</f>
        <v>#N/A</v>
      </c>
    </row>
    <row r="527" spans="1:24" ht="15" customHeight="1">
      <c r="A527" s="708"/>
      <c r="B527" s="708"/>
      <c r="C527" s="710"/>
      <c r="D527" s="710"/>
      <c r="E527" s="710"/>
      <c r="F527" s="708"/>
      <c r="G527" s="708"/>
      <c r="H527" s="602"/>
      <c r="I527" s="601"/>
      <c r="J527" s="601"/>
      <c r="K527" s="601"/>
      <c r="L527" s="149">
        <f t="shared" si="40"/>
        <v>0</v>
      </c>
      <c r="M527" s="150">
        <f t="shared" si="41"/>
        <v>0</v>
      </c>
      <c r="N527" s="151">
        <f>+IF(OR($Q527=Parametres!$G$2,$Q527=Parametres!$G$3),I527,C527)</f>
        <v>0</v>
      </c>
      <c r="O527" s="151">
        <f>+IF(OR($Q527=Parametres!$G$2,$Q527=Parametres!$G$3),J527,D527)</f>
        <v>0</v>
      </c>
      <c r="P527" s="151">
        <f>+IF(OR($Q527=Parametres!$G$2,$Q527=Parametres!$G$3),K527,E527)</f>
        <v>0</v>
      </c>
      <c r="Q527" s="150">
        <f t="shared" si="42"/>
        <v>0</v>
      </c>
      <c r="R527" s="149">
        <f t="shared" si="43"/>
        <v>0</v>
      </c>
      <c r="S527" s="150">
        <f t="shared" si="44"/>
        <v>0</v>
      </c>
      <c r="T527" s="152" t="e">
        <f>+VLOOKUP($L527,Data_Validation!$A:$D,1,0)</f>
        <v>#N/A</v>
      </c>
      <c r="U527" s="152" t="e">
        <f>+VLOOKUP($L527,Data_Validation!$A:$D,3,0)</f>
        <v>#N/A</v>
      </c>
      <c r="V527" s="152" t="e">
        <f>+VLOOKUP($L527,Data_Validation!$A:$D,4,0)</f>
        <v>#N/A</v>
      </c>
      <c r="W527" s="152" t="e">
        <f>+VLOOKUP($L527,Data_Validation!$A:$E,5,0)</f>
        <v>#N/A</v>
      </c>
      <c r="X527" s="152" t="e">
        <f>+VLOOKUP($L527,Data_Validation!$A:$F,6,0)</f>
        <v>#N/A</v>
      </c>
    </row>
    <row r="528" spans="1:24" ht="15" customHeight="1">
      <c r="A528" s="708"/>
      <c r="B528" s="708"/>
      <c r="C528" s="710"/>
      <c r="D528" s="710"/>
      <c r="E528" s="710"/>
      <c r="F528" s="708"/>
      <c r="G528" s="708"/>
      <c r="H528" s="664"/>
      <c r="I528" s="663"/>
      <c r="J528" s="663"/>
      <c r="K528" s="663"/>
      <c r="L528" s="149">
        <f t="shared" si="40"/>
        <v>0</v>
      </c>
      <c r="M528" s="150">
        <f t="shared" si="41"/>
        <v>0</v>
      </c>
      <c r="N528" s="151">
        <f>+IF(OR($Q528=Parametres!$G$2,$Q528=Parametres!$G$3),I528,C528)</f>
        <v>0</v>
      </c>
      <c r="O528" s="151">
        <f>+IF(OR($Q528=Parametres!$G$2,$Q528=Parametres!$G$3),J528,D528)</f>
        <v>0</v>
      </c>
      <c r="P528" s="151">
        <f>+IF(OR($Q528=Parametres!$G$2,$Q528=Parametres!$G$3),K528,E528)</f>
        <v>0</v>
      </c>
      <c r="Q528" s="150">
        <f t="shared" si="42"/>
        <v>0</v>
      </c>
      <c r="R528" s="149">
        <f t="shared" si="43"/>
        <v>0</v>
      </c>
      <c r="S528" s="150">
        <f t="shared" si="44"/>
        <v>0</v>
      </c>
      <c r="T528" s="152" t="e">
        <f>+VLOOKUP($L528,Data_Validation!$A:$D,1,0)</f>
        <v>#N/A</v>
      </c>
      <c r="U528" s="152" t="e">
        <f>+VLOOKUP($L528,Data_Validation!$A:$D,3,0)</f>
        <v>#N/A</v>
      </c>
      <c r="V528" s="152" t="e">
        <f>+VLOOKUP($L528,Data_Validation!$A:$D,4,0)</f>
        <v>#N/A</v>
      </c>
      <c r="W528" s="152" t="e">
        <f>+VLOOKUP($L528,Data_Validation!$A:$E,5,0)</f>
        <v>#N/A</v>
      </c>
      <c r="X528" s="152" t="e">
        <f>+VLOOKUP($L528,Data_Validation!$A:$F,6,0)</f>
        <v>#N/A</v>
      </c>
    </row>
    <row r="529" spans="1:24" ht="15" customHeight="1">
      <c r="A529" s="708"/>
      <c r="B529" s="708"/>
      <c r="C529" s="710"/>
      <c r="D529" s="710"/>
      <c r="E529" s="710"/>
      <c r="F529" s="708"/>
      <c r="G529" s="708"/>
      <c r="H529" s="664"/>
      <c r="I529" s="664"/>
      <c r="J529" s="664"/>
      <c r="K529" s="664"/>
      <c r="L529" s="149">
        <f t="shared" si="40"/>
        <v>0</v>
      </c>
      <c r="M529" s="150">
        <f t="shared" si="41"/>
        <v>0</v>
      </c>
      <c r="N529" s="151">
        <f>+IF(OR($Q529=Parametres!$G$2,$Q529=Parametres!$G$3),I529,C529)</f>
        <v>0</v>
      </c>
      <c r="O529" s="151">
        <f>+IF(OR($Q529=Parametres!$G$2,$Q529=Parametres!$G$3),J529,D529)</f>
        <v>0</v>
      </c>
      <c r="P529" s="151">
        <f>+IF(OR($Q529=Parametres!$G$2,$Q529=Parametres!$G$3),K529,E529)</f>
        <v>0</v>
      </c>
      <c r="Q529" s="150">
        <f t="shared" si="42"/>
        <v>0</v>
      </c>
      <c r="R529" s="149">
        <f t="shared" si="43"/>
        <v>0</v>
      </c>
      <c r="S529" s="150">
        <f t="shared" si="44"/>
        <v>0</v>
      </c>
      <c r="T529" s="152" t="e">
        <f>+VLOOKUP($L529,Data_Validation!$A:$D,1,0)</f>
        <v>#N/A</v>
      </c>
      <c r="U529" s="152" t="e">
        <f>+VLOOKUP($L529,Data_Validation!$A:$D,3,0)</f>
        <v>#N/A</v>
      </c>
      <c r="V529" s="152" t="e">
        <f>+VLOOKUP($L529,Data_Validation!$A:$D,4,0)</f>
        <v>#N/A</v>
      </c>
      <c r="W529" s="152" t="e">
        <f>+VLOOKUP($L529,Data_Validation!$A:$E,5,0)</f>
        <v>#N/A</v>
      </c>
      <c r="X529" s="152" t="e">
        <f>+VLOOKUP($L529,Data_Validation!$A:$F,6,0)</f>
        <v>#N/A</v>
      </c>
    </row>
    <row r="530" spans="1:24" ht="15" customHeight="1">
      <c r="A530" s="708"/>
      <c r="B530" s="708"/>
      <c r="C530" s="710"/>
      <c r="D530" s="710"/>
      <c r="E530" s="710"/>
      <c r="F530" s="708"/>
      <c r="G530" s="708"/>
      <c r="H530" s="664"/>
      <c r="I530" s="663"/>
      <c r="J530" s="663"/>
      <c r="K530" s="663"/>
      <c r="L530" s="149">
        <f t="shared" si="40"/>
        <v>0</v>
      </c>
      <c r="M530" s="150">
        <f t="shared" si="41"/>
        <v>0</v>
      </c>
      <c r="N530" s="151">
        <f>+IF(OR($Q530=Parametres!$G$2,$Q530=Parametres!$G$3),I530,C530)</f>
        <v>0</v>
      </c>
      <c r="O530" s="151">
        <f>+IF(OR($Q530=Parametres!$G$2,$Q530=Parametres!$G$3),J530,D530)</f>
        <v>0</v>
      </c>
      <c r="P530" s="151">
        <f>+IF(OR($Q530=Parametres!$G$2,$Q530=Parametres!$G$3),K530,E530)</f>
        <v>0</v>
      </c>
      <c r="Q530" s="150">
        <f t="shared" si="42"/>
        <v>0</v>
      </c>
      <c r="R530" s="149">
        <f t="shared" si="43"/>
        <v>0</v>
      </c>
      <c r="S530" s="150">
        <f t="shared" si="44"/>
        <v>0</v>
      </c>
      <c r="T530" s="152" t="e">
        <f>+VLOOKUP($L530,Data_Validation!$A:$D,1,0)</f>
        <v>#N/A</v>
      </c>
      <c r="U530" s="152" t="e">
        <f>+VLOOKUP($L530,Data_Validation!$A:$D,3,0)</f>
        <v>#N/A</v>
      </c>
      <c r="V530" s="152" t="e">
        <f>+VLOOKUP($L530,Data_Validation!$A:$D,4,0)</f>
        <v>#N/A</v>
      </c>
      <c r="W530" s="152" t="e">
        <f>+VLOOKUP($L530,Data_Validation!$A:$E,5,0)</f>
        <v>#N/A</v>
      </c>
      <c r="X530" s="152" t="e">
        <f>+VLOOKUP($L530,Data_Validation!$A:$F,6,0)</f>
        <v>#N/A</v>
      </c>
    </row>
    <row r="531" spans="1:24" ht="15" customHeight="1">
      <c r="A531" s="708"/>
      <c r="B531" s="708"/>
      <c r="C531" s="710"/>
      <c r="D531" s="710"/>
      <c r="E531" s="710"/>
      <c r="F531" s="708"/>
      <c r="G531" s="708"/>
      <c r="H531" s="664"/>
      <c r="I531" s="663"/>
      <c r="J531" s="663"/>
      <c r="K531" s="663"/>
      <c r="L531" s="149">
        <f t="shared" si="40"/>
        <v>0</v>
      </c>
      <c r="M531" s="150">
        <f t="shared" si="41"/>
        <v>0</v>
      </c>
      <c r="N531" s="151">
        <f>+IF(OR($Q531=Parametres!$G$2,$Q531=Parametres!$G$3),I531,C531)</f>
        <v>0</v>
      </c>
      <c r="O531" s="151">
        <f>+IF(OR($Q531=Parametres!$G$2,$Q531=Parametres!$G$3),J531,D531)</f>
        <v>0</v>
      </c>
      <c r="P531" s="151">
        <f>+IF(OR($Q531=Parametres!$G$2,$Q531=Parametres!$G$3),K531,E531)</f>
        <v>0</v>
      </c>
      <c r="Q531" s="150">
        <f t="shared" si="42"/>
        <v>0</v>
      </c>
      <c r="R531" s="149">
        <f t="shared" si="43"/>
        <v>0</v>
      </c>
      <c r="S531" s="150">
        <f t="shared" si="44"/>
        <v>0</v>
      </c>
      <c r="T531" s="152" t="e">
        <f>+VLOOKUP($L531,Data_Validation!$A:$D,1,0)</f>
        <v>#N/A</v>
      </c>
      <c r="U531" s="152" t="e">
        <f>+VLOOKUP($L531,Data_Validation!$A:$D,3,0)</f>
        <v>#N/A</v>
      </c>
      <c r="V531" s="152" t="e">
        <f>+VLOOKUP($L531,Data_Validation!$A:$D,4,0)</f>
        <v>#N/A</v>
      </c>
      <c r="W531" s="152" t="e">
        <f>+VLOOKUP($L531,Data_Validation!$A:$E,5,0)</f>
        <v>#N/A</v>
      </c>
      <c r="X531" s="152" t="e">
        <f>+VLOOKUP($L531,Data_Validation!$A:$F,6,0)</f>
        <v>#N/A</v>
      </c>
    </row>
    <row r="532" spans="1:24" ht="15" customHeight="1">
      <c r="A532" s="708"/>
      <c r="B532" s="708"/>
      <c r="C532" s="710"/>
      <c r="D532" s="710"/>
      <c r="E532" s="710"/>
      <c r="F532" s="708"/>
      <c r="G532" s="708"/>
      <c r="H532" s="664"/>
      <c r="I532" s="663"/>
      <c r="J532" s="663"/>
      <c r="K532" s="663"/>
      <c r="L532" s="149">
        <f t="shared" si="40"/>
        <v>0</v>
      </c>
      <c r="M532" s="150">
        <f t="shared" si="41"/>
        <v>0</v>
      </c>
      <c r="N532" s="151">
        <f>+IF(OR($Q532=Parametres!$G$2,$Q532=Parametres!$G$3),I532,C532)</f>
        <v>0</v>
      </c>
      <c r="O532" s="151">
        <f>+IF(OR($Q532=Parametres!$G$2,$Q532=Parametres!$G$3),J532,D532)</f>
        <v>0</v>
      </c>
      <c r="P532" s="151">
        <f>+IF(OR($Q532=Parametres!$G$2,$Q532=Parametres!$G$3),K532,E532)</f>
        <v>0</v>
      </c>
      <c r="Q532" s="150">
        <f t="shared" si="42"/>
        <v>0</v>
      </c>
      <c r="R532" s="149">
        <f t="shared" si="43"/>
        <v>0</v>
      </c>
      <c r="S532" s="150">
        <f t="shared" si="44"/>
        <v>0</v>
      </c>
      <c r="T532" s="152" t="e">
        <f>+VLOOKUP($L532,Data_Validation!$A:$D,1,0)</f>
        <v>#N/A</v>
      </c>
      <c r="U532" s="152" t="e">
        <f>+VLOOKUP($L532,Data_Validation!$A:$D,3,0)</f>
        <v>#N/A</v>
      </c>
      <c r="V532" s="152" t="e">
        <f>+VLOOKUP($L532,Data_Validation!$A:$D,4,0)</f>
        <v>#N/A</v>
      </c>
      <c r="W532" s="152" t="e">
        <f>+VLOOKUP($L532,Data_Validation!$A:$E,5,0)</f>
        <v>#N/A</v>
      </c>
      <c r="X532" s="152" t="e">
        <f>+VLOOKUP($L532,Data_Validation!$A:$F,6,0)</f>
        <v>#N/A</v>
      </c>
    </row>
    <row r="533" spans="1:24" ht="15.75" customHeight="1">
      <c r="A533" s="708"/>
      <c r="B533" s="708"/>
      <c r="C533" s="709"/>
      <c r="D533" s="709"/>
      <c r="E533" s="709"/>
      <c r="F533" s="708"/>
      <c r="G533" s="708"/>
      <c r="H533" s="709"/>
      <c r="I533" s="710"/>
      <c r="J533" s="710"/>
      <c r="K533" s="710"/>
      <c r="L533" s="149">
        <f t="shared" si="40"/>
        <v>0</v>
      </c>
      <c r="M533" s="150">
        <f t="shared" si="41"/>
        <v>0</v>
      </c>
      <c r="N533" s="151">
        <f>+IF(OR($Q533=Parametres!$G$2,$Q533=Parametres!$G$3),I533,C533)</f>
        <v>0</v>
      </c>
      <c r="O533" s="151">
        <f>+IF(OR($Q533=Parametres!$G$2,$Q533=Parametres!$G$3),J533,D533)</f>
        <v>0</v>
      </c>
      <c r="P533" s="151">
        <f>+IF(OR($Q533=Parametres!$G$2,$Q533=Parametres!$G$3),K533,E533)</f>
        <v>0</v>
      </c>
      <c r="Q533" s="150">
        <f t="shared" si="42"/>
        <v>0</v>
      </c>
      <c r="R533" s="149">
        <f t="shared" si="43"/>
        <v>0</v>
      </c>
      <c r="S533" s="150">
        <f t="shared" si="44"/>
        <v>0</v>
      </c>
      <c r="T533" s="152" t="e">
        <f>+VLOOKUP($L533,Data_Validation!$A:$D,1,0)</f>
        <v>#N/A</v>
      </c>
      <c r="U533" s="152" t="e">
        <f>+VLOOKUP($L533,Data_Validation!$A:$D,3,0)</f>
        <v>#N/A</v>
      </c>
      <c r="V533" s="152" t="e">
        <f>+VLOOKUP($L533,Data_Validation!$A:$D,4,0)</f>
        <v>#N/A</v>
      </c>
      <c r="W533" s="152" t="e">
        <f>+VLOOKUP($L533,Data_Validation!$A:$E,5,0)</f>
        <v>#N/A</v>
      </c>
      <c r="X533" s="152" t="e">
        <f>+VLOOKUP($L533,Data_Validation!$A:$F,6,0)</f>
        <v>#N/A</v>
      </c>
    </row>
    <row r="534" spans="1:24" ht="15" customHeight="1">
      <c r="A534" s="708"/>
      <c r="B534" s="708"/>
      <c r="C534" s="709"/>
      <c r="D534" s="709"/>
      <c r="E534" s="709"/>
      <c r="F534" s="708"/>
      <c r="G534" s="708"/>
      <c r="H534" s="709"/>
      <c r="I534" s="710"/>
      <c r="J534" s="710"/>
      <c r="K534" s="710"/>
      <c r="L534" s="149">
        <f t="shared" si="40"/>
        <v>0</v>
      </c>
      <c r="M534" s="150">
        <f t="shared" si="41"/>
        <v>0</v>
      </c>
      <c r="N534" s="151">
        <f>+IF(OR($Q534=Parametres!$G$2,$Q534=Parametres!$G$3),I534,C534)</f>
        <v>0</v>
      </c>
      <c r="O534" s="498">
        <f>+IF(OR($Q534=Parametres!$G$2,$Q534=Parametres!$G$3),J534,D534)</f>
        <v>0</v>
      </c>
      <c r="P534" s="151">
        <f>+IF(OR($Q534=Parametres!$G$2,$Q534=Parametres!$G$3),K534,E534)</f>
        <v>0</v>
      </c>
      <c r="Q534" s="150">
        <f t="shared" si="42"/>
        <v>0</v>
      </c>
      <c r="R534" s="149">
        <f t="shared" si="43"/>
        <v>0</v>
      </c>
      <c r="S534" s="150">
        <f t="shared" si="44"/>
        <v>0</v>
      </c>
      <c r="T534" s="152" t="e">
        <f>+VLOOKUP($L534,Data_Validation!$A:$D,1,0)</f>
        <v>#N/A</v>
      </c>
      <c r="U534" s="152" t="e">
        <f>+VLOOKUP($L534,Data_Validation!$A:$D,3,0)</f>
        <v>#N/A</v>
      </c>
      <c r="V534" s="152" t="e">
        <f>+VLOOKUP($L534,Data_Validation!$A:$D,4,0)</f>
        <v>#N/A</v>
      </c>
      <c r="W534" s="152" t="e">
        <f>+VLOOKUP($L534,Data_Validation!$A:$E,5,0)</f>
        <v>#N/A</v>
      </c>
      <c r="X534" s="152" t="e">
        <f>+VLOOKUP($L534,Data_Validation!$A:$F,6,0)</f>
        <v>#N/A</v>
      </c>
    </row>
    <row r="535" spans="1:24" ht="15" customHeight="1">
      <c r="A535" s="708"/>
      <c r="B535" s="708"/>
      <c r="C535" s="710"/>
      <c r="D535" s="710"/>
      <c r="E535" s="710"/>
      <c r="F535" s="708"/>
      <c r="G535" s="708"/>
      <c r="H535" s="664"/>
      <c r="I535" s="663"/>
      <c r="J535" s="663"/>
      <c r="K535" s="663"/>
      <c r="L535" s="149">
        <f t="shared" si="40"/>
        <v>0</v>
      </c>
      <c r="M535" s="150">
        <f t="shared" si="41"/>
        <v>0</v>
      </c>
      <c r="N535" s="151">
        <f>+IF(OR($Q535=Parametres!$G$2,$Q535=Parametres!$G$3),I535,C535)</f>
        <v>0</v>
      </c>
      <c r="O535" s="151">
        <f>+IF(OR($Q535=Parametres!$G$2,$Q535=Parametres!$G$3),J535,D535)</f>
        <v>0</v>
      </c>
      <c r="P535" s="151">
        <f>+IF(OR($Q535=Parametres!$G$2,$Q535=Parametres!$G$3),K535,E535)</f>
        <v>0</v>
      </c>
      <c r="Q535" s="150">
        <f t="shared" si="42"/>
        <v>0</v>
      </c>
      <c r="R535" s="149">
        <f t="shared" si="43"/>
        <v>0</v>
      </c>
      <c r="S535" s="150">
        <f t="shared" si="44"/>
        <v>0</v>
      </c>
      <c r="T535" s="152" t="e">
        <f>+VLOOKUP($L535,Data_Validation!$A:$D,1,0)</f>
        <v>#N/A</v>
      </c>
      <c r="U535" s="152" t="e">
        <f>+VLOOKUP($L535,Data_Validation!$A:$D,3,0)</f>
        <v>#N/A</v>
      </c>
      <c r="V535" s="152" t="e">
        <f>+VLOOKUP($L535,Data_Validation!$A:$D,4,0)</f>
        <v>#N/A</v>
      </c>
      <c r="W535" s="152" t="e">
        <f>+VLOOKUP($L535,Data_Validation!$A:$E,5,0)</f>
        <v>#N/A</v>
      </c>
      <c r="X535" s="152" t="e">
        <f>+VLOOKUP($L535,Data_Validation!$A:$F,6,0)</f>
        <v>#N/A</v>
      </c>
    </row>
    <row r="536" spans="1:24" ht="15" customHeight="1">
      <c r="A536" s="708"/>
      <c r="B536" s="708"/>
      <c r="C536" s="710"/>
      <c r="D536" s="710"/>
      <c r="E536" s="710"/>
      <c r="F536" s="708"/>
      <c r="G536" s="708"/>
      <c r="H536" s="664"/>
      <c r="I536" s="663"/>
      <c r="J536" s="663"/>
      <c r="K536" s="663"/>
      <c r="L536" s="149">
        <f t="shared" si="40"/>
        <v>0</v>
      </c>
      <c r="M536" s="150">
        <f t="shared" si="41"/>
        <v>0</v>
      </c>
      <c r="N536" s="151">
        <f>+IF(OR($Q536=Parametres!$G$2,$Q536=Parametres!$G$3),I536,C536)</f>
        <v>0</v>
      </c>
      <c r="O536" s="497">
        <f>+IF(OR($Q536=Parametres!$G$2,$Q536=Parametres!$G$3),J536,D536)</f>
        <v>0</v>
      </c>
      <c r="P536" s="151">
        <f>+IF(OR($Q536=Parametres!$G$2,$Q536=Parametres!$G$3),K536,E536)</f>
        <v>0</v>
      </c>
      <c r="Q536" s="150">
        <f t="shared" si="42"/>
        <v>0</v>
      </c>
      <c r="R536" s="149">
        <f t="shared" si="43"/>
        <v>0</v>
      </c>
      <c r="S536" s="150">
        <f t="shared" si="44"/>
        <v>0</v>
      </c>
      <c r="T536" s="152" t="e">
        <f>+VLOOKUP($L536,Data_Validation!$A:$D,1,0)</f>
        <v>#N/A</v>
      </c>
      <c r="U536" s="152" t="e">
        <f>+VLOOKUP($L536,Data_Validation!$A:$D,3,0)</f>
        <v>#N/A</v>
      </c>
      <c r="V536" s="152" t="e">
        <f>+VLOOKUP($L536,Data_Validation!$A:$D,4,0)</f>
        <v>#N/A</v>
      </c>
      <c r="W536" s="152" t="e">
        <f>+VLOOKUP($L536,Data_Validation!$A:$E,5,0)</f>
        <v>#N/A</v>
      </c>
      <c r="X536" s="152" t="e">
        <f>+VLOOKUP($L536,Data_Validation!$A:$F,6,0)</f>
        <v>#N/A</v>
      </c>
    </row>
    <row r="537" spans="1:24" ht="15.75" customHeight="1">
      <c r="A537" s="708"/>
      <c r="B537" s="708"/>
      <c r="C537" s="709"/>
      <c r="D537" s="709"/>
      <c r="E537" s="709"/>
      <c r="F537" s="708"/>
      <c r="G537" s="708"/>
      <c r="H537" s="709"/>
      <c r="I537" s="710"/>
      <c r="J537" s="710"/>
      <c r="K537" s="710"/>
      <c r="L537" s="149">
        <f t="shared" si="40"/>
        <v>0</v>
      </c>
      <c r="M537" s="150">
        <f t="shared" si="41"/>
        <v>0</v>
      </c>
      <c r="N537" s="151">
        <f>+IF(OR($Q537=Parametres!$G$2,$Q537=Parametres!$G$3),I537,C537)</f>
        <v>0</v>
      </c>
      <c r="O537" s="151">
        <f>+IF(OR($Q537=Parametres!$G$2,$Q537=Parametres!$G$3),J537,D537)</f>
        <v>0</v>
      </c>
      <c r="P537" s="151">
        <f>+IF(OR($Q537=Parametres!$G$2,$Q537=Parametres!$G$3),K537,E537)</f>
        <v>0</v>
      </c>
      <c r="Q537" s="150">
        <f t="shared" si="42"/>
        <v>0</v>
      </c>
      <c r="R537" s="149">
        <f t="shared" si="43"/>
        <v>0</v>
      </c>
      <c r="S537" s="150">
        <f t="shared" si="44"/>
        <v>0</v>
      </c>
      <c r="T537" s="152" t="e">
        <f>+VLOOKUP($L537,Data_Validation!$A:$D,1,0)</f>
        <v>#N/A</v>
      </c>
      <c r="U537" s="152" t="e">
        <f>+VLOOKUP($L537,Data_Validation!$A:$D,3,0)</f>
        <v>#N/A</v>
      </c>
      <c r="V537" s="152" t="e">
        <f>+VLOOKUP($L537,Data_Validation!$A:$D,4,0)</f>
        <v>#N/A</v>
      </c>
      <c r="W537" s="152" t="e">
        <f>+VLOOKUP($L537,Data_Validation!$A:$E,5,0)</f>
        <v>#N/A</v>
      </c>
      <c r="X537" s="152" t="e">
        <f>+VLOOKUP($L537,Data_Validation!$A:$F,6,0)</f>
        <v>#N/A</v>
      </c>
    </row>
    <row r="538" spans="1:24" ht="15" customHeight="1">
      <c r="A538" s="708"/>
      <c r="B538" s="708"/>
      <c r="C538" s="709"/>
      <c r="D538" s="709"/>
      <c r="E538" s="709"/>
      <c r="F538" s="708"/>
      <c r="G538" s="708"/>
      <c r="H538" s="709"/>
      <c r="I538" s="710"/>
      <c r="J538" s="710"/>
      <c r="K538" s="710"/>
      <c r="L538" s="149">
        <f t="shared" si="40"/>
        <v>0</v>
      </c>
      <c r="M538" s="150">
        <f t="shared" si="41"/>
        <v>0</v>
      </c>
      <c r="N538" s="151">
        <f>+IF(OR($Q538=Parametres!$G$2,$Q538=Parametres!$G$3),I538,C538)</f>
        <v>0</v>
      </c>
      <c r="O538" s="497">
        <f>+IF(OR($Q538=Parametres!$G$2,$Q538=Parametres!$G$3),J538,D538)</f>
        <v>0</v>
      </c>
      <c r="P538" s="151">
        <f>+IF(OR($Q538=Parametres!$G$2,$Q538=Parametres!$G$3),K538,E538)</f>
        <v>0</v>
      </c>
      <c r="Q538" s="150">
        <f t="shared" si="42"/>
        <v>0</v>
      </c>
      <c r="R538" s="149">
        <f t="shared" si="43"/>
        <v>0</v>
      </c>
      <c r="S538" s="150">
        <f t="shared" si="44"/>
        <v>0</v>
      </c>
      <c r="T538" s="152" t="e">
        <f>+VLOOKUP($L538,Data_Validation!$A:$D,1,0)</f>
        <v>#N/A</v>
      </c>
      <c r="U538" s="152" t="e">
        <f>+VLOOKUP($L538,Data_Validation!$A:$D,3,0)</f>
        <v>#N/A</v>
      </c>
      <c r="V538" s="152" t="e">
        <f>+VLOOKUP($L538,Data_Validation!$A:$D,4,0)</f>
        <v>#N/A</v>
      </c>
      <c r="W538" s="152" t="e">
        <f>+VLOOKUP($L538,Data_Validation!$A:$E,5,0)</f>
        <v>#N/A</v>
      </c>
      <c r="X538" s="152" t="e">
        <f>+VLOOKUP($L538,Data_Validation!$A:$F,6,0)</f>
        <v>#N/A</v>
      </c>
    </row>
    <row r="539" spans="1:24" ht="15" customHeight="1">
      <c r="A539" s="708"/>
      <c r="B539" s="708"/>
      <c r="C539" s="709"/>
      <c r="D539" s="709"/>
      <c r="E539" s="709"/>
      <c r="F539" s="708"/>
      <c r="G539" s="708"/>
      <c r="H539" s="709"/>
      <c r="I539" s="710"/>
      <c r="J539" s="710"/>
      <c r="K539" s="710"/>
      <c r="L539" s="149">
        <f t="shared" si="40"/>
        <v>0</v>
      </c>
      <c r="M539" s="150">
        <f t="shared" si="41"/>
        <v>0</v>
      </c>
      <c r="N539" s="151">
        <f>+IF(OR($Q539=Parametres!$G$2,$Q539=Parametres!$G$3),I539,C539)</f>
        <v>0</v>
      </c>
      <c r="O539" s="151">
        <f>+IF(OR($Q539=Parametres!$G$2,$Q539=Parametres!$G$3),J539,D539)</f>
        <v>0</v>
      </c>
      <c r="P539" s="151">
        <f>+IF(OR($Q539=Parametres!$G$2,$Q539=Parametres!$G$3),K539,E539)</f>
        <v>0</v>
      </c>
      <c r="Q539" s="150">
        <f t="shared" si="42"/>
        <v>0</v>
      </c>
      <c r="R539" s="149">
        <f t="shared" si="43"/>
        <v>0</v>
      </c>
      <c r="S539" s="150">
        <f t="shared" si="44"/>
        <v>0</v>
      </c>
      <c r="T539" s="152" t="e">
        <f>+VLOOKUP($L539,Data_Validation!$A:$D,1,0)</f>
        <v>#N/A</v>
      </c>
      <c r="U539" s="152" t="e">
        <f>+VLOOKUP($L539,Data_Validation!$A:$D,3,0)</f>
        <v>#N/A</v>
      </c>
      <c r="V539" s="152" t="e">
        <f>+VLOOKUP($L539,Data_Validation!$A:$D,4,0)</f>
        <v>#N/A</v>
      </c>
      <c r="W539" s="152" t="e">
        <f>+VLOOKUP($L539,Data_Validation!$A:$E,5,0)</f>
        <v>#N/A</v>
      </c>
      <c r="X539" s="152" t="e">
        <f>+VLOOKUP($L539,Data_Validation!$A:$F,6,0)</f>
        <v>#N/A</v>
      </c>
    </row>
    <row r="540" spans="1:24" ht="15" customHeight="1">
      <c r="A540" s="708"/>
      <c r="B540" s="708"/>
      <c r="C540" s="710"/>
      <c r="D540" s="710"/>
      <c r="E540" s="710"/>
      <c r="F540" s="708"/>
      <c r="G540" s="708"/>
      <c r="H540" s="664"/>
      <c r="I540" s="663"/>
      <c r="J540" s="663"/>
      <c r="K540" s="663"/>
      <c r="L540" s="149">
        <f t="shared" si="40"/>
        <v>0</v>
      </c>
      <c r="M540" s="150">
        <f t="shared" si="41"/>
        <v>0</v>
      </c>
      <c r="N540" s="151">
        <f>+IF(OR($Q540=Parametres!$G$2,$Q540=Parametres!$G$3),I540,C540)</f>
        <v>0</v>
      </c>
      <c r="O540" s="151">
        <f>+IF(OR($Q540=Parametres!$G$2,$Q540=Parametres!$G$3),J540,D540)</f>
        <v>0</v>
      </c>
      <c r="P540" s="151">
        <f>+IF(OR($Q540=Parametres!$G$2,$Q540=Parametres!$G$3),K540,E540)</f>
        <v>0</v>
      </c>
      <c r="Q540" s="150">
        <f t="shared" si="42"/>
        <v>0</v>
      </c>
      <c r="R540" s="149">
        <f t="shared" si="43"/>
        <v>0</v>
      </c>
      <c r="S540" s="150">
        <f t="shared" si="44"/>
        <v>0</v>
      </c>
      <c r="T540" s="152" t="e">
        <f>+VLOOKUP($L540,Data_Validation!$A:$D,1,0)</f>
        <v>#N/A</v>
      </c>
      <c r="U540" s="152" t="e">
        <f>+VLOOKUP($L540,Data_Validation!$A:$D,3,0)</f>
        <v>#N/A</v>
      </c>
      <c r="V540" s="152" t="e">
        <f>+VLOOKUP($L540,Data_Validation!$A:$D,4,0)</f>
        <v>#N/A</v>
      </c>
      <c r="W540" s="152" t="e">
        <f>+VLOOKUP($L540,Data_Validation!$A:$E,5,0)</f>
        <v>#N/A</v>
      </c>
      <c r="X540" s="152" t="e">
        <f>+VLOOKUP($L540,Data_Validation!$A:$F,6,0)</f>
        <v>#N/A</v>
      </c>
    </row>
    <row r="541" spans="1:24" ht="15" customHeight="1">
      <c r="A541" s="708"/>
      <c r="B541" s="708"/>
      <c r="C541" s="710"/>
      <c r="D541" s="710"/>
      <c r="E541" s="710"/>
      <c r="F541" s="708"/>
      <c r="G541" s="708"/>
      <c r="H541" s="664"/>
      <c r="I541" s="663"/>
      <c r="J541" s="663"/>
      <c r="K541" s="663"/>
      <c r="L541" s="149">
        <f t="shared" si="40"/>
        <v>0</v>
      </c>
      <c r="M541" s="150">
        <f t="shared" si="41"/>
        <v>0</v>
      </c>
      <c r="N541" s="151">
        <f>+IF(OR($Q541=Parametres!$G$2,$Q541=Parametres!$G$3),I541,C541)</f>
        <v>0</v>
      </c>
      <c r="O541" s="151">
        <f>+IF(OR($Q541=Parametres!$G$2,$Q541=Parametres!$G$3),J541,D541)</f>
        <v>0</v>
      </c>
      <c r="P541" s="151">
        <f>+IF(OR($Q541=Parametres!$G$2,$Q541=Parametres!$G$3),K541,E541)</f>
        <v>0</v>
      </c>
      <c r="Q541" s="150">
        <f t="shared" si="42"/>
        <v>0</v>
      </c>
      <c r="R541" s="149">
        <f t="shared" si="43"/>
        <v>0</v>
      </c>
      <c r="S541" s="150">
        <f t="shared" si="44"/>
        <v>0</v>
      </c>
      <c r="T541" s="152" t="e">
        <f>+VLOOKUP($L541,Data_Validation!$A:$D,1,0)</f>
        <v>#N/A</v>
      </c>
      <c r="U541" s="152" t="e">
        <f>+VLOOKUP($L541,Data_Validation!$A:$D,3,0)</f>
        <v>#N/A</v>
      </c>
      <c r="V541" s="152" t="e">
        <f>+VLOOKUP($L541,Data_Validation!$A:$D,4,0)</f>
        <v>#N/A</v>
      </c>
      <c r="W541" s="152" t="e">
        <f>+VLOOKUP($L541,Data_Validation!$A:$E,5,0)</f>
        <v>#N/A</v>
      </c>
      <c r="X541" s="152" t="e">
        <f>+VLOOKUP($L541,Data_Validation!$A:$F,6,0)</f>
        <v>#N/A</v>
      </c>
    </row>
    <row r="542" spans="1:24" ht="15.75" customHeight="1">
      <c r="A542" s="708"/>
      <c r="B542" s="708"/>
      <c r="C542" s="709"/>
      <c r="D542" s="709"/>
      <c r="E542" s="709"/>
      <c r="F542" s="708"/>
      <c r="G542" s="708"/>
      <c r="H542" s="709"/>
      <c r="I542" s="710"/>
      <c r="J542" s="710"/>
      <c r="K542" s="710"/>
      <c r="L542" s="149">
        <f t="shared" si="40"/>
        <v>0</v>
      </c>
      <c r="M542" s="150">
        <f t="shared" si="41"/>
        <v>0</v>
      </c>
      <c r="N542" s="151">
        <f>+IF(OR($Q542=Parametres!$G$2,$Q542=Parametres!$G$3),I542,C542)</f>
        <v>0</v>
      </c>
      <c r="O542" s="497">
        <f>+IF(OR($Q542=Parametres!$G$2,$Q542=Parametres!$G$3),J542,D542)</f>
        <v>0</v>
      </c>
      <c r="P542" s="151">
        <f>+IF(OR($Q542=Parametres!$G$2,$Q542=Parametres!$G$3),K542,E542)</f>
        <v>0</v>
      </c>
      <c r="Q542" s="150">
        <f t="shared" si="42"/>
        <v>0</v>
      </c>
      <c r="R542" s="149">
        <f t="shared" si="43"/>
        <v>0</v>
      </c>
      <c r="S542" s="150">
        <f t="shared" si="44"/>
        <v>0</v>
      </c>
      <c r="T542" s="152" t="e">
        <f>+VLOOKUP($L542,Data_Validation!$A:$D,1,0)</f>
        <v>#N/A</v>
      </c>
      <c r="U542" s="152" t="e">
        <f>+VLOOKUP($L542,Data_Validation!$A:$D,3,0)</f>
        <v>#N/A</v>
      </c>
      <c r="V542" s="152" t="e">
        <f>+VLOOKUP($L542,Data_Validation!$A:$D,4,0)</f>
        <v>#N/A</v>
      </c>
      <c r="W542" s="152" t="e">
        <f>+VLOOKUP($L542,Data_Validation!$A:$E,5,0)</f>
        <v>#N/A</v>
      </c>
      <c r="X542" s="152" t="e">
        <f>+VLOOKUP($L542,Data_Validation!$A:$F,6,0)</f>
        <v>#N/A</v>
      </c>
    </row>
    <row r="543" spans="1:24" ht="15" customHeight="1">
      <c r="A543" s="708"/>
      <c r="B543" s="708"/>
      <c r="C543" s="709"/>
      <c r="D543" s="709"/>
      <c r="E543" s="709"/>
      <c r="F543" s="708"/>
      <c r="G543" s="708"/>
      <c r="H543" s="709"/>
      <c r="I543" s="710"/>
      <c r="J543" s="710"/>
      <c r="K543" s="710"/>
      <c r="L543" s="149">
        <f t="shared" si="40"/>
        <v>0</v>
      </c>
      <c r="M543" s="150">
        <f t="shared" si="41"/>
        <v>0</v>
      </c>
      <c r="N543" s="151">
        <f>+IF(OR($Q543=Parametres!$G$2,$Q543=Parametres!$G$3),I543,C543)</f>
        <v>0</v>
      </c>
      <c r="O543" s="497">
        <f>+IF(OR($Q543=Parametres!$G$2,$Q543=Parametres!$G$3),J543,D543)</f>
        <v>0</v>
      </c>
      <c r="P543" s="151">
        <f>+IF(OR($Q543=Parametres!$G$2,$Q543=Parametres!$G$3),K543,E543)</f>
        <v>0</v>
      </c>
      <c r="Q543" s="150">
        <f t="shared" si="42"/>
        <v>0</v>
      </c>
      <c r="R543" s="149">
        <f t="shared" si="43"/>
        <v>0</v>
      </c>
      <c r="S543" s="150">
        <f t="shared" si="44"/>
        <v>0</v>
      </c>
      <c r="T543" s="152" t="e">
        <f>+VLOOKUP($L543,Data_Validation!$A:$D,1,0)</f>
        <v>#N/A</v>
      </c>
      <c r="U543" s="152" t="e">
        <f>+VLOOKUP($L543,Data_Validation!$A:$D,3,0)</f>
        <v>#N/A</v>
      </c>
      <c r="V543" s="152" t="e">
        <f>+VLOOKUP($L543,Data_Validation!$A:$D,4,0)</f>
        <v>#N/A</v>
      </c>
      <c r="W543" s="152" t="e">
        <f>+VLOOKUP($L543,Data_Validation!$A:$E,5,0)</f>
        <v>#N/A</v>
      </c>
      <c r="X543" s="152" t="e">
        <f>+VLOOKUP($L543,Data_Validation!$A:$F,6,0)</f>
        <v>#N/A</v>
      </c>
    </row>
    <row r="544" spans="1:24" ht="15" customHeight="1">
      <c r="A544" s="708"/>
      <c r="B544" s="708"/>
      <c r="C544" s="709"/>
      <c r="D544" s="709"/>
      <c r="E544" s="709"/>
      <c r="F544" s="708"/>
      <c r="G544" s="708"/>
      <c r="H544" s="709"/>
      <c r="I544" s="710"/>
      <c r="J544" s="710"/>
      <c r="K544" s="710"/>
      <c r="L544" s="149">
        <f t="shared" si="40"/>
        <v>0</v>
      </c>
      <c r="M544" s="150">
        <f t="shared" si="41"/>
        <v>0</v>
      </c>
      <c r="N544" s="151">
        <f>+IF(OR($Q544=Parametres!$G$2,$Q544=Parametres!$G$3),I544,C544)</f>
        <v>0</v>
      </c>
      <c r="O544" s="151">
        <f>+IF(OR($Q544=Parametres!$G$2,$Q544=Parametres!$G$3),J544,D544)</f>
        <v>0</v>
      </c>
      <c r="P544" s="151">
        <f>+IF(OR($Q544=Parametres!$G$2,$Q544=Parametres!$G$3),K544,E544)</f>
        <v>0</v>
      </c>
      <c r="Q544" s="150">
        <f t="shared" si="42"/>
        <v>0</v>
      </c>
      <c r="R544" s="149">
        <f t="shared" si="43"/>
        <v>0</v>
      </c>
      <c r="S544" s="150">
        <f t="shared" si="44"/>
        <v>0</v>
      </c>
      <c r="T544" s="152" t="e">
        <f>+VLOOKUP($L544,Data_Validation!$A:$D,1,0)</f>
        <v>#N/A</v>
      </c>
      <c r="U544" s="152" t="e">
        <f>+VLOOKUP($L544,Data_Validation!$A:$D,3,0)</f>
        <v>#N/A</v>
      </c>
      <c r="V544" s="152" t="e">
        <f>+VLOOKUP($L544,Data_Validation!$A:$D,4,0)</f>
        <v>#N/A</v>
      </c>
      <c r="W544" s="152" t="e">
        <f>+VLOOKUP($L544,Data_Validation!$A:$E,5,0)</f>
        <v>#N/A</v>
      </c>
      <c r="X544" s="152" t="e">
        <f>+VLOOKUP($L544,Data_Validation!$A:$F,6,0)</f>
        <v>#N/A</v>
      </c>
    </row>
    <row r="545" spans="1:24" ht="15" customHeight="1">
      <c r="A545" s="708"/>
      <c r="B545" s="708"/>
      <c r="C545" s="709"/>
      <c r="D545" s="709"/>
      <c r="E545" s="709"/>
      <c r="F545" s="708"/>
      <c r="G545" s="708"/>
      <c r="H545" s="709"/>
      <c r="I545" s="710"/>
      <c r="J545" s="710"/>
      <c r="K545" s="710"/>
      <c r="L545" s="149">
        <f t="shared" si="40"/>
        <v>0</v>
      </c>
      <c r="M545" s="150">
        <f t="shared" si="41"/>
        <v>0</v>
      </c>
      <c r="N545" s="151">
        <f>+IF(OR($Q545=Parametres!$G$2,$Q545=Parametres!$G$3),I545,C545)</f>
        <v>0</v>
      </c>
      <c r="O545" s="497">
        <f>+IF(OR($Q545=Parametres!$G$2,$Q545=Parametres!$G$3),J545,D545)</f>
        <v>0</v>
      </c>
      <c r="P545" s="151">
        <f>+IF(OR($Q545=Parametres!$G$2,$Q545=Parametres!$G$3),K545,E545)</f>
        <v>0</v>
      </c>
      <c r="Q545" s="150">
        <f t="shared" si="42"/>
        <v>0</v>
      </c>
      <c r="R545" s="149">
        <f t="shared" si="43"/>
        <v>0</v>
      </c>
      <c r="S545" s="150">
        <f t="shared" si="44"/>
        <v>0</v>
      </c>
      <c r="T545" s="152" t="e">
        <f>+VLOOKUP($L545,Data_Validation!$A:$D,1,0)</f>
        <v>#N/A</v>
      </c>
      <c r="U545" s="152" t="e">
        <f>+VLOOKUP($L545,Data_Validation!$A:$D,3,0)</f>
        <v>#N/A</v>
      </c>
      <c r="V545" s="152" t="e">
        <f>+VLOOKUP($L545,Data_Validation!$A:$D,4,0)</f>
        <v>#N/A</v>
      </c>
      <c r="W545" s="152" t="e">
        <f>+VLOOKUP($L545,Data_Validation!$A:$E,5,0)</f>
        <v>#N/A</v>
      </c>
      <c r="X545" s="152" t="e">
        <f>+VLOOKUP($L545,Data_Validation!$A:$F,6,0)</f>
        <v>#N/A</v>
      </c>
    </row>
    <row r="546" spans="1:24" ht="15" customHeight="1">
      <c r="A546" s="708"/>
      <c r="B546" s="708"/>
      <c r="C546" s="709"/>
      <c r="D546" s="709"/>
      <c r="E546" s="709"/>
      <c r="F546" s="708"/>
      <c r="G546" s="708"/>
      <c r="H546" s="709"/>
      <c r="I546" s="710"/>
      <c r="J546" s="710"/>
      <c r="K546" s="710"/>
      <c r="L546" s="149">
        <f t="shared" si="40"/>
        <v>0</v>
      </c>
      <c r="M546" s="150">
        <f t="shared" si="41"/>
        <v>0</v>
      </c>
      <c r="N546" s="151">
        <f>+IF(OR($Q546=Parametres!$G$2,$Q546=Parametres!$G$3),I546,C546)</f>
        <v>0</v>
      </c>
      <c r="O546" s="497">
        <f>+IF(OR($Q546=Parametres!$G$2,$Q546=Parametres!$G$3),J546,D546)</f>
        <v>0</v>
      </c>
      <c r="P546" s="151">
        <f>+IF(OR($Q546=Parametres!$G$2,$Q546=Parametres!$G$3),K546,E546)</f>
        <v>0</v>
      </c>
      <c r="Q546" s="150">
        <f t="shared" si="42"/>
        <v>0</v>
      </c>
      <c r="R546" s="149">
        <f t="shared" si="43"/>
        <v>0</v>
      </c>
      <c r="S546" s="150">
        <f t="shared" si="44"/>
        <v>0</v>
      </c>
      <c r="T546" s="152" t="e">
        <f>+VLOOKUP($L546,Data_Validation!$A:$D,1,0)</f>
        <v>#N/A</v>
      </c>
      <c r="U546" s="152" t="e">
        <f>+VLOOKUP($L546,Data_Validation!$A:$D,3,0)</f>
        <v>#N/A</v>
      </c>
      <c r="V546" s="152" t="e">
        <f>+VLOOKUP($L546,Data_Validation!$A:$D,4,0)</f>
        <v>#N/A</v>
      </c>
      <c r="W546" s="152" t="e">
        <f>+VLOOKUP($L546,Data_Validation!$A:$E,5,0)</f>
        <v>#N/A</v>
      </c>
      <c r="X546" s="152" t="e">
        <f>+VLOOKUP($L546,Data_Validation!$A:$F,6,0)</f>
        <v>#N/A</v>
      </c>
    </row>
    <row r="547" spans="1:24" ht="15.75" customHeight="1">
      <c r="A547" s="708"/>
      <c r="B547" s="708"/>
      <c r="C547" s="709"/>
      <c r="D547" s="709"/>
      <c r="E547" s="709"/>
      <c r="F547" s="708"/>
      <c r="G547" s="708"/>
      <c r="H547" s="709"/>
      <c r="I547" s="710"/>
      <c r="J547" s="710"/>
      <c r="K547" s="710"/>
      <c r="L547" s="149">
        <f t="shared" si="40"/>
        <v>0</v>
      </c>
      <c r="M547" s="150">
        <f t="shared" si="41"/>
        <v>0</v>
      </c>
      <c r="N547" s="151">
        <f>+IF(OR($Q547=Parametres!$G$2,$Q547=Parametres!$G$3),I547,C547)</f>
        <v>0</v>
      </c>
      <c r="O547" s="497">
        <f>+IF(OR($Q547=Parametres!$G$2,$Q547=Parametres!$G$3),J547,D547)</f>
        <v>0</v>
      </c>
      <c r="P547" s="151">
        <f>+IF(OR($Q547=Parametres!$G$2,$Q547=Parametres!$G$3),K547,E547)</f>
        <v>0</v>
      </c>
      <c r="Q547" s="150">
        <f t="shared" si="42"/>
        <v>0</v>
      </c>
      <c r="R547" s="149">
        <f t="shared" si="43"/>
        <v>0</v>
      </c>
      <c r="S547" s="150">
        <f t="shared" si="44"/>
        <v>0</v>
      </c>
      <c r="T547" s="152" t="e">
        <f>+VLOOKUP($L547,Data_Validation!$A:$D,1,0)</f>
        <v>#N/A</v>
      </c>
      <c r="U547" s="152" t="e">
        <f>+VLOOKUP($L547,Data_Validation!$A:$D,3,0)</f>
        <v>#N/A</v>
      </c>
      <c r="V547" s="152" t="e">
        <f>+VLOOKUP($L547,Data_Validation!$A:$D,4,0)</f>
        <v>#N/A</v>
      </c>
      <c r="W547" s="152" t="e">
        <f>+VLOOKUP($L547,Data_Validation!$A:$E,5,0)</f>
        <v>#N/A</v>
      </c>
      <c r="X547" s="152" t="e">
        <f>+VLOOKUP($L547,Data_Validation!$A:$F,6,0)</f>
        <v>#N/A</v>
      </c>
    </row>
    <row r="548" spans="1:24" ht="15" customHeight="1">
      <c r="A548" s="708"/>
      <c r="B548" s="708"/>
      <c r="C548" s="709"/>
      <c r="D548" s="709"/>
      <c r="E548" s="709"/>
      <c r="F548" s="708"/>
      <c r="G548" s="708"/>
      <c r="H548" s="709"/>
      <c r="I548" s="710"/>
      <c r="J548" s="710"/>
      <c r="K548" s="710"/>
      <c r="L548" s="149">
        <f t="shared" si="40"/>
        <v>0</v>
      </c>
      <c r="M548" s="150">
        <f t="shared" si="41"/>
        <v>0</v>
      </c>
      <c r="N548" s="151">
        <f>+IF(OR($Q548=Parametres!$G$2,$Q548=Parametres!$G$3),I548,C548)</f>
        <v>0</v>
      </c>
      <c r="O548" s="151">
        <f>+IF(OR($Q548=Parametres!$G$2,$Q548=Parametres!$G$3),J548,D548)</f>
        <v>0</v>
      </c>
      <c r="P548" s="151">
        <f>+IF(OR($Q548=Parametres!$G$2,$Q548=Parametres!$G$3),K548,E548)</f>
        <v>0</v>
      </c>
      <c r="Q548" s="150">
        <f t="shared" si="42"/>
        <v>0</v>
      </c>
      <c r="R548" s="149">
        <f t="shared" si="43"/>
        <v>0</v>
      </c>
      <c r="S548" s="150">
        <f t="shared" si="44"/>
        <v>0</v>
      </c>
      <c r="T548" s="152" t="e">
        <f>+VLOOKUP($L548,Data_Validation!$A:$D,1,0)</f>
        <v>#N/A</v>
      </c>
      <c r="U548" s="152" t="e">
        <f>+VLOOKUP($L548,Data_Validation!$A:$D,3,0)</f>
        <v>#N/A</v>
      </c>
      <c r="V548" s="152" t="e">
        <f>+VLOOKUP($L548,Data_Validation!$A:$D,4,0)</f>
        <v>#N/A</v>
      </c>
      <c r="W548" s="152" t="e">
        <f>+VLOOKUP($L548,Data_Validation!$A:$E,5,0)</f>
        <v>#N/A</v>
      </c>
      <c r="X548" s="152" t="e">
        <f>+VLOOKUP($L548,Data_Validation!$A:$F,6,0)</f>
        <v>#N/A</v>
      </c>
    </row>
    <row r="549" spans="1:24" ht="15" customHeight="1">
      <c r="A549" s="708"/>
      <c r="B549" s="708"/>
      <c r="C549" s="709"/>
      <c r="D549" s="709"/>
      <c r="E549" s="709"/>
      <c r="F549" s="708"/>
      <c r="G549" s="708"/>
      <c r="H549" s="709"/>
      <c r="I549" s="710"/>
      <c r="J549" s="710"/>
      <c r="K549" s="710"/>
      <c r="L549" s="149">
        <f t="shared" si="40"/>
        <v>0</v>
      </c>
      <c r="M549" s="150">
        <f t="shared" si="41"/>
        <v>0</v>
      </c>
      <c r="N549" s="151">
        <f>+IF(OR($Q549=Parametres!$G$2,$Q549=Parametres!$G$3),I549,C549)</f>
        <v>0</v>
      </c>
      <c r="O549" s="497">
        <f>+IF(OR($Q549=Parametres!$G$2,$Q549=Parametres!$G$3),J549,D549)</f>
        <v>0</v>
      </c>
      <c r="P549" s="151">
        <f>+IF(OR($Q549=Parametres!$G$2,$Q549=Parametres!$G$3),K549,E549)</f>
        <v>0</v>
      </c>
      <c r="Q549" s="150">
        <f t="shared" si="42"/>
        <v>0</v>
      </c>
      <c r="R549" s="149">
        <f t="shared" si="43"/>
        <v>0</v>
      </c>
      <c r="S549" s="150">
        <f t="shared" si="44"/>
        <v>0</v>
      </c>
      <c r="T549" s="152" t="e">
        <f>+VLOOKUP($L549,Data_Validation!$A:$D,1,0)</f>
        <v>#N/A</v>
      </c>
      <c r="U549" s="152" t="e">
        <f>+VLOOKUP($L549,Data_Validation!$A:$D,3,0)</f>
        <v>#N/A</v>
      </c>
      <c r="V549" s="152" t="e">
        <f>+VLOOKUP($L549,Data_Validation!$A:$D,4,0)</f>
        <v>#N/A</v>
      </c>
      <c r="W549" s="152" t="e">
        <f>+VLOOKUP($L549,Data_Validation!$A:$E,5,0)</f>
        <v>#N/A</v>
      </c>
      <c r="X549" s="152" t="e">
        <f>+VLOOKUP($L549,Data_Validation!$A:$F,6,0)</f>
        <v>#N/A</v>
      </c>
    </row>
    <row r="550" spans="1:24" ht="15" customHeight="1">
      <c r="A550" s="708"/>
      <c r="B550" s="708"/>
      <c r="C550" s="709"/>
      <c r="D550" s="709"/>
      <c r="E550" s="709"/>
      <c r="F550" s="708"/>
      <c r="G550" s="708"/>
      <c r="H550" s="709"/>
      <c r="I550" s="710"/>
      <c r="J550" s="710"/>
      <c r="K550" s="710"/>
      <c r="L550" s="149">
        <f t="shared" si="40"/>
        <v>0</v>
      </c>
      <c r="M550" s="150">
        <f t="shared" si="41"/>
        <v>0</v>
      </c>
      <c r="N550" s="151">
        <f>+IF(OR($Q550=Parametres!$G$2,$Q550=Parametres!$G$3),I550,C550)</f>
        <v>0</v>
      </c>
      <c r="O550" s="497">
        <f>+IF(OR($Q550=Parametres!$G$2,$Q550=Parametres!$G$3),J550,D550)</f>
        <v>0</v>
      </c>
      <c r="P550" s="151">
        <f>+IF(OR($Q550=Parametres!$G$2,$Q550=Parametres!$G$3),K550,E550)</f>
        <v>0</v>
      </c>
      <c r="Q550" s="150">
        <f t="shared" si="42"/>
        <v>0</v>
      </c>
      <c r="R550" s="149">
        <f t="shared" si="43"/>
        <v>0</v>
      </c>
      <c r="S550" s="150">
        <f t="shared" si="44"/>
        <v>0</v>
      </c>
      <c r="T550" s="152" t="e">
        <f>+VLOOKUP($L550,Data_Validation!$A:$D,1,0)</f>
        <v>#N/A</v>
      </c>
      <c r="U550" s="152" t="e">
        <f>+VLOOKUP($L550,Data_Validation!$A:$D,3,0)</f>
        <v>#N/A</v>
      </c>
      <c r="V550" s="152" t="e">
        <f>+VLOOKUP($L550,Data_Validation!$A:$D,4,0)</f>
        <v>#N/A</v>
      </c>
      <c r="W550" s="152" t="e">
        <f>+VLOOKUP($L550,Data_Validation!$A:$E,5,0)</f>
        <v>#N/A</v>
      </c>
      <c r="X550" s="152" t="e">
        <f>+VLOOKUP($L550,Data_Validation!$A:$F,6,0)</f>
        <v>#N/A</v>
      </c>
    </row>
    <row r="551" spans="1:24" ht="15.75" customHeight="1">
      <c r="A551" s="708"/>
      <c r="B551" s="708"/>
      <c r="C551" s="709"/>
      <c r="D551" s="709"/>
      <c r="E551" s="709"/>
      <c r="F551" s="708"/>
      <c r="G551" s="708"/>
      <c r="H551" s="709"/>
      <c r="I551" s="710"/>
      <c r="J551" s="710"/>
      <c r="K551" s="710"/>
      <c r="L551" s="149">
        <f t="shared" si="40"/>
        <v>0</v>
      </c>
      <c r="M551" s="150">
        <f t="shared" si="41"/>
        <v>0</v>
      </c>
      <c r="N551" s="151">
        <f>+IF(OR($Q551=Parametres!$G$2,$Q551=Parametres!$G$3),I551,C551)</f>
        <v>0</v>
      </c>
      <c r="O551" s="151">
        <f>+IF(OR($Q551=Parametres!$G$2,$Q551=Parametres!$G$3),J551,D551)</f>
        <v>0</v>
      </c>
      <c r="P551" s="151">
        <f>+IF(OR($Q551=Parametres!$G$2,$Q551=Parametres!$G$3),K551,E551)</f>
        <v>0</v>
      </c>
      <c r="Q551" s="150">
        <f t="shared" si="42"/>
        <v>0</v>
      </c>
      <c r="R551" s="149">
        <f t="shared" si="43"/>
        <v>0</v>
      </c>
      <c r="S551" s="150">
        <f t="shared" si="44"/>
        <v>0</v>
      </c>
      <c r="T551" s="152" t="e">
        <f>+VLOOKUP($L551,Data_Validation!$A:$D,1,0)</f>
        <v>#N/A</v>
      </c>
      <c r="U551" s="152" t="e">
        <f>+VLOOKUP($L551,Data_Validation!$A:$D,3,0)</f>
        <v>#N/A</v>
      </c>
      <c r="V551" s="152" t="e">
        <f>+VLOOKUP($L551,Data_Validation!$A:$D,4,0)</f>
        <v>#N/A</v>
      </c>
      <c r="W551" s="152" t="e">
        <f>+VLOOKUP($L551,Data_Validation!$A:$E,5,0)</f>
        <v>#N/A</v>
      </c>
      <c r="X551" s="152" t="e">
        <f>+VLOOKUP($L551,Data_Validation!$A:$F,6,0)</f>
        <v>#N/A</v>
      </c>
    </row>
    <row r="552" spans="1:24" ht="15" customHeight="1">
      <c r="A552" s="708"/>
      <c r="B552" s="708"/>
      <c r="C552" s="709"/>
      <c r="D552" s="709"/>
      <c r="E552" s="709"/>
      <c r="F552" s="708"/>
      <c r="G552" s="708"/>
      <c r="H552" s="709"/>
      <c r="I552" s="710"/>
      <c r="J552" s="710"/>
      <c r="K552" s="710"/>
      <c r="L552" s="149">
        <f t="shared" si="40"/>
        <v>0</v>
      </c>
      <c r="M552" s="150">
        <f t="shared" si="41"/>
        <v>0</v>
      </c>
      <c r="N552" s="151">
        <f>+IF(OR($Q552=Parametres!$G$2,$Q552=Parametres!$G$3),I552,C552)</f>
        <v>0</v>
      </c>
      <c r="O552" s="497">
        <f>+IF(OR($Q552=Parametres!$G$2,$Q552=Parametres!$G$3),J552,D552)</f>
        <v>0</v>
      </c>
      <c r="P552" s="151">
        <f>+IF(OR($Q552=Parametres!$G$2,$Q552=Parametres!$G$3),K552,E552)</f>
        <v>0</v>
      </c>
      <c r="Q552" s="150">
        <f t="shared" si="42"/>
        <v>0</v>
      </c>
      <c r="R552" s="149">
        <f t="shared" si="43"/>
        <v>0</v>
      </c>
      <c r="S552" s="150">
        <f t="shared" si="44"/>
        <v>0</v>
      </c>
      <c r="T552" s="152" t="e">
        <f>+VLOOKUP($L552,Data_Validation!$A:$D,1,0)</f>
        <v>#N/A</v>
      </c>
      <c r="U552" s="152" t="e">
        <f>+VLOOKUP($L552,Data_Validation!$A:$D,3,0)</f>
        <v>#N/A</v>
      </c>
      <c r="V552" s="152" t="e">
        <f>+VLOOKUP($L552,Data_Validation!$A:$D,4,0)</f>
        <v>#N/A</v>
      </c>
      <c r="W552" s="152" t="e">
        <f>+VLOOKUP($L552,Data_Validation!$A:$E,5,0)</f>
        <v>#N/A</v>
      </c>
      <c r="X552" s="152" t="e">
        <f>+VLOOKUP($L552,Data_Validation!$A:$F,6,0)</f>
        <v>#N/A</v>
      </c>
    </row>
    <row r="553" spans="1:24" ht="15" customHeight="1">
      <c r="A553" s="708"/>
      <c r="B553" s="708"/>
      <c r="C553" s="709"/>
      <c r="D553" s="709"/>
      <c r="E553" s="709"/>
      <c r="F553" s="708"/>
      <c r="G553" s="708"/>
      <c r="H553" s="709"/>
      <c r="I553" s="710"/>
      <c r="J553" s="710"/>
      <c r="K553" s="710"/>
      <c r="L553" s="149">
        <f t="shared" si="40"/>
        <v>0</v>
      </c>
      <c r="M553" s="150">
        <f t="shared" si="41"/>
        <v>0</v>
      </c>
      <c r="N553" s="151">
        <f>+IF(OR($Q553=Parametres!$G$2,$Q553=Parametres!$G$3),I553,C553)</f>
        <v>0</v>
      </c>
      <c r="O553" s="497">
        <f>+IF(OR($Q553=Parametres!$G$2,$Q553=Parametres!$G$3),J553,D553)</f>
        <v>0</v>
      </c>
      <c r="P553" s="151">
        <f>+IF(OR($Q553=Parametres!$G$2,$Q553=Parametres!$G$3),K553,E553)</f>
        <v>0</v>
      </c>
      <c r="Q553" s="150">
        <f t="shared" si="42"/>
        <v>0</v>
      </c>
      <c r="R553" s="149">
        <f t="shared" si="43"/>
        <v>0</v>
      </c>
      <c r="S553" s="150">
        <f t="shared" si="44"/>
        <v>0</v>
      </c>
      <c r="T553" s="152" t="e">
        <f>+VLOOKUP($L553,Data_Validation!$A:$D,1,0)</f>
        <v>#N/A</v>
      </c>
      <c r="U553" s="152" t="e">
        <f>+VLOOKUP($L553,Data_Validation!$A:$D,3,0)</f>
        <v>#N/A</v>
      </c>
      <c r="V553" s="152" t="e">
        <f>+VLOOKUP($L553,Data_Validation!$A:$D,4,0)</f>
        <v>#N/A</v>
      </c>
      <c r="W553" s="152" t="e">
        <f>+VLOOKUP($L553,Data_Validation!$A:$E,5,0)</f>
        <v>#N/A</v>
      </c>
      <c r="X553" s="152" t="e">
        <f>+VLOOKUP($L553,Data_Validation!$A:$F,6,0)</f>
        <v>#N/A</v>
      </c>
    </row>
    <row r="554" spans="1:24" ht="15" customHeight="1">
      <c r="A554" s="708"/>
      <c r="B554" s="708"/>
      <c r="C554" s="709"/>
      <c r="D554" s="709"/>
      <c r="E554" s="709"/>
      <c r="F554" s="708"/>
      <c r="G554" s="708"/>
      <c r="H554" s="709"/>
      <c r="I554" s="710"/>
      <c r="J554" s="710"/>
      <c r="K554" s="710"/>
      <c r="L554" s="149">
        <f t="shared" si="40"/>
        <v>0</v>
      </c>
      <c r="M554" s="150">
        <f t="shared" si="41"/>
        <v>0</v>
      </c>
      <c r="N554" s="151">
        <f>+IF(OR($Q554=Parametres!$G$2,$Q554=Parametres!$G$3),I554,C554)</f>
        <v>0</v>
      </c>
      <c r="O554" s="497">
        <f>+IF(OR($Q554=Parametres!$G$2,$Q554=Parametres!$G$3),J554,D554)</f>
        <v>0</v>
      </c>
      <c r="P554" s="151">
        <f>+IF(OR($Q554=Parametres!$G$2,$Q554=Parametres!$G$3),K554,E554)</f>
        <v>0</v>
      </c>
      <c r="Q554" s="150">
        <f t="shared" si="42"/>
        <v>0</v>
      </c>
      <c r="R554" s="149">
        <f t="shared" si="43"/>
        <v>0</v>
      </c>
      <c r="S554" s="150">
        <f t="shared" si="44"/>
        <v>0</v>
      </c>
      <c r="T554" s="152" t="e">
        <f>+VLOOKUP($L554,Data_Validation!$A:$D,1,0)</f>
        <v>#N/A</v>
      </c>
      <c r="U554" s="152" t="e">
        <f>+VLOOKUP($L554,Data_Validation!$A:$D,3,0)</f>
        <v>#N/A</v>
      </c>
      <c r="V554" s="152" t="e">
        <f>+VLOOKUP($L554,Data_Validation!$A:$D,4,0)</f>
        <v>#N/A</v>
      </c>
      <c r="W554" s="152" t="e">
        <f>+VLOOKUP($L554,Data_Validation!$A:$E,5,0)</f>
        <v>#N/A</v>
      </c>
      <c r="X554" s="152" t="e">
        <f>+VLOOKUP($L554,Data_Validation!$A:$F,6,0)</f>
        <v>#N/A</v>
      </c>
    </row>
    <row r="555" spans="1:24" ht="15.75" customHeight="1">
      <c r="A555" s="708"/>
      <c r="B555" s="708"/>
      <c r="C555" s="709"/>
      <c r="D555" s="709"/>
      <c r="E555" s="709"/>
      <c r="F555" s="708"/>
      <c r="G555" s="708"/>
      <c r="H555" s="709"/>
      <c r="I555" s="710"/>
      <c r="J555" s="710"/>
      <c r="K555" s="710"/>
      <c r="L555" s="149">
        <f t="shared" si="40"/>
        <v>0</v>
      </c>
      <c r="M555" s="150">
        <f t="shared" si="41"/>
        <v>0</v>
      </c>
      <c r="N555" s="151">
        <f>+IF(OR($Q555=Parametres!$G$2,$Q555=Parametres!$G$3),I555,C555)</f>
        <v>0</v>
      </c>
      <c r="O555" s="498">
        <f>+IF(OR($Q555=Parametres!$G$2,$Q555=Parametres!$G$3),J555,D555)</f>
        <v>0</v>
      </c>
      <c r="P555" s="151">
        <f>+IF(OR($Q555=Parametres!$G$2,$Q555=Parametres!$G$3),K555,E555)</f>
        <v>0</v>
      </c>
      <c r="Q555" s="150">
        <f t="shared" si="42"/>
        <v>0</v>
      </c>
      <c r="R555" s="149">
        <f t="shared" si="43"/>
        <v>0</v>
      </c>
      <c r="S555" s="150">
        <f t="shared" si="44"/>
        <v>0</v>
      </c>
      <c r="T555" s="152" t="e">
        <f>+VLOOKUP($L555,Data_Validation!$A:$D,1,0)</f>
        <v>#N/A</v>
      </c>
      <c r="U555" s="152" t="e">
        <f>+VLOOKUP($L555,Data_Validation!$A:$D,3,0)</f>
        <v>#N/A</v>
      </c>
      <c r="V555" s="152" t="e">
        <f>+VLOOKUP($L555,Data_Validation!$A:$D,4,0)</f>
        <v>#N/A</v>
      </c>
      <c r="W555" s="152" t="e">
        <f>+VLOOKUP($L555,Data_Validation!$A:$E,5,0)</f>
        <v>#N/A</v>
      </c>
      <c r="X555" s="152" t="e">
        <f>+VLOOKUP($L555,Data_Validation!$A:$F,6,0)</f>
        <v>#N/A</v>
      </c>
    </row>
    <row r="556" spans="1:24" ht="15" customHeight="1">
      <c r="A556" s="708"/>
      <c r="B556" s="708"/>
      <c r="C556" s="710"/>
      <c r="D556" s="710"/>
      <c r="E556" s="710"/>
      <c r="F556" s="708"/>
      <c r="G556" s="708"/>
      <c r="H556" s="664"/>
      <c r="I556" s="663"/>
      <c r="J556" s="663"/>
      <c r="K556" s="663"/>
      <c r="L556" s="149">
        <f t="shared" si="40"/>
        <v>0</v>
      </c>
      <c r="M556" s="150">
        <f t="shared" si="41"/>
        <v>0</v>
      </c>
      <c r="N556" s="151">
        <f>+IF(OR($Q556=Parametres!$G$2,$Q556=Parametres!$G$3),I556,C556)</f>
        <v>0</v>
      </c>
      <c r="O556" s="151">
        <f>+IF(OR($Q556=Parametres!$G$2,$Q556=Parametres!$G$3),J556,D556)</f>
        <v>0</v>
      </c>
      <c r="P556" s="151">
        <f>+IF(OR($Q556=Parametres!$G$2,$Q556=Parametres!$G$3),K556,E556)</f>
        <v>0</v>
      </c>
      <c r="Q556" s="150">
        <f t="shared" si="42"/>
        <v>0</v>
      </c>
      <c r="R556" s="149">
        <f t="shared" si="43"/>
        <v>0</v>
      </c>
      <c r="S556" s="150">
        <f t="shared" si="44"/>
        <v>0</v>
      </c>
      <c r="T556" s="152" t="e">
        <f>+VLOOKUP($L556,Data_Validation!$A:$D,1,0)</f>
        <v>#N/A</v>
      </c>
      <c r="U556" s="152" t="e">
        <f>+VLOOKUP($L556,Data_Validation!$A:$D,3,0)</f>
        <v>#N/A</v>
      </c>
      <c r="V556" s="152" t="e">
        <f>+VLOOKUP($L556,Data_Validation!$A:$D,4,0)</f>
        <v>#N/A</v>
      </c>
      <c r="W556" s="152" t="e">
        <f>+VLOOKUP($L556,Data_Validation!$A:$E,5,0)</f>
        <v>#N/A</v>
      </c>
      <c r="X556" s="152" t="e">
        <f>+VLOOKUP($L556,Data_Validation!$A:$F,6,0)</f>
        <v>#N/A</v>
      </c>
    </row>
    <row r="557" spans="1:24" ht="15" customHeight="1">
      <c r="A557" s="708"/>
      <c r="B557" s="708"/>
      <c r="C557" s="709"/>
      <c r="D557" s="709"/>
      <c r="E557" s="709"/>
      <c r="F557" s="708"/>
      <c r="G557" s="708"/>
      <c r="H557" s="709"/>
      <c r="I557" s="710"/>
      <c r="J557" s="710"/>
      <c r="K557" s="710"/>
      <c r="L557" s="149">
        <f t="shared" si="40"/>
        <v>0</v>
      </c>
      <c r="M557" s="150">
        <f t="shared" si="41"/>
        <v>0</v>
      </c>
      <c r="N557" s="151">
        <f>+IF(OR($Q557=Parametres!$G$2,$Q557=Parametres!$G$3),I557,C557)</f>
        <v>0</v>
      </c>
      <c r="O557" s="151">
        <f>+IF(OR($Q557=Parametres!$G$2,$Q557=Parametres!$G$3),J557,D557)</f>
        <v>0</v>
      </c>
      <c r="P557" s="151">
        <f>+IF(OR($Q557=Parametres!$G$2,$Q557=Parametres!$G$3),K557,E557)</f>
        <v>0</v>
      </c>
      <c r="Q557" s="150">
        <f t="shared" si="42"/>
        <v>0</v>
      </c>
      <c r="R557" s="149">
        <f t="shared" si="43"/>
        <v>0</v>
      </c>
      <c r="S557" s="150">
        <f t="shared" si="44"/>
        <v>0</v>
      </c>
      <c r="T557" s="152" t="e">
        <f>+VLOOKUP($L557,Data_Validation!$A:$D,1,0)</f>
        <v>#N/A</v>
      </c>
      <c r="U557" s="152" t="e">
        <f>+VLOOKUP($L557,Data_Validation!$A:$D,3,0)</f>
        <v>#N/A</v>
      </c>
      <c r="V557" s="152" t="e">
        <f>+VLOOKUP($L557,Data_Validation!$A:$D,4,0)</f>
        <v>#N/A</v>
      </c>
      <c r="W557" s="152" t="e">
        <f>+VLOOKUP($L557,Data_Validation!$A:$E,5,0)</f>
        <v>#N/A</v>
      </c>
      <c r="X557" s="152" t="e">
        <f>+VLOOKUP($L557,Data_Validation!$A:$F,6,0)</f>
        <v>#N/A</v>
      </c>
    </row>
    <row r="558" spans="1:24" ht="15" customHeight="1">
      <c r="A558" s="708"/>
      <c r="B558" s="708"/>
      <c r="C558" s="710"/>
      <c r="D558" s="710"/>
      <c r="E558" s="710"/>
      <c r="F558" s="708"/>
      <c r="G558" s="708"/>
      <c r="H558" s="664"/>
      <c r="I558" s="663"/>
      <c r="J558" s="663"/>
      <c r="K558" s="663"/>
      <c r="L558" s="149">
        <f t="shared" si="40"/>
        <v>0</v>
      </c>
      <c r="M558" s="150">
        <f t="shared" si="41"/>
        <v>0</v>
      </c>
      <c r="N558" s="151">
        <f>+IF(OR($Q558=Parametres!$G$2,$Q558=Parametres!$G$3),I558,C558)</f>
        <v>0</v>
      </c>
      <c r="O558" s="151">
        <f>+IF(OR($Q558=Parametres!$G$2,$Q558=Parametres!$G$3),J558,D558)</f>
        <v>0</v>
      </c>
      <c r="P558" s="151">
        <f>+IF(OR($Q558=Parametres!$G$2,$Q558=Parametres!$G$3),K558,E558)</f>
        <v>0</v>
      </c>
      <c r="Q558" s="150">
        <f t="shared" si="42"/>
        <v>0</v>
      </c>
      <c r="R558" s="149">
        <f t="shared" si="43"/>
        <v>0</v>
      </c>
      <c r="S558" s="150">
        <f t="shared" si="44"/>
        <v>0</v>
      </c>
      <c r="T558" s="152" t="e">
        <f>+VLOOKUP($L558,Data_Validation!$A:$D,1,0)</f>
        <v>#N/A</v>
      </c>
      <c r="U558" s="152" t="e">
        <f>+VLOOKUP($L558,Data_Validation!$A:$D,3,0)</f>
        <v>#N/A</v>
      </c>
      <c r="V558" s="152" t="e">
        <f>+VLOOKUP($L558,Data_Validation!$A:$D,4,0)</f>
        <v>#N/A</v>
      </c>
      <c r="W558" s="152" t="e">
        <f>+VLOOKUP($L558,Data_Validation!$A:$E,5,0)</f>
        <v>#N/A</v>
      </c>
      <c r="X558" s="152" t="e">
        <f>+VLOOKUP($L558,Data_Validation!$A:$F,6,0)</f>
        <v>#N/A</v>
      </c>
    </row>
    <row r="559" spans="1:24" ht="15.75" customHeight="1">
      <c r="A559" s="708"/>
      <c r="B559" s="708"/>
      <c r="C559" s="710"/>
      <c r="D559" s="710"/>
      <c r="E559" s="710"/>
      <c r="F559" s="708"/>
      <c r="G559" s="708"/>
      <c r="H559" s="664"/>
      <c r="I559" s="663"/>
      <c r="J559" s="663"/>
      <c r="K559" s="663"/>
      <c r="L559" s="149">
        <f t="shared" si="40"/>
        <v>0</v>
      </c>
      <c r="M559" s="150">
        <f t="shared" si="41"/>
        <v>0</v>
      </c>
      <c r="N559" s="151">
        <f>+IF(OR($Q559=Parametres!$G$2,$Q559=Parametres!$G$3),I559,C559)</f>
        <v>0</v>
      </c>
      <c r="O559" s="151">
        <f>+IF(OR($Q559=Parametres!$G$2,$Q559=Parametres!$G$3),J559,D559)</f>
        <v>0</v>
      </c>
      <c r="P559" s="151">
        <f>+IF(OR($Q559=Parametres!$G$2,$Q559=Parametres!$G$3),K559,E559)</f>
        <v>0</v>
      </c>
      <c r="Q559" s="150">
        <f t="shared" si="42"/>
        <v>0</v>
      </c>
      <c r="R559" s="149">
        <f t="shared" si="43"/>
        <v>0</v>
      </c>
      <c r="S559" s="150">
        <f t="shared" si="44"/>
        <v>0</v>
      </c>
      <c r="T559" s="152" t="e">
        <f>+VLOOKUP($L559,Data_Validation!$A:$D,1,0)</f>
        <v>#N/A</v>
      </c>
      <c r="U559" s="152" t="e">
        <f>+VLOOKUP($L559,Data_Validation!$A:$D,3,0)</f>
        <v>#N/A</v>
      </c>
      <c r="V559" s="152" t="e">
        <f>+VLOOKUP($L559,Data_Validation!$A:$D,4,0)</f>
        <v>#N/A</v>
      </c>
      <c r="W559" s="152" t="e">
        <f>+VLOOKUP($L559,Data_Validation!$A:$E,5,0)</f>
        <v>#N/A</v>
      </c>
      <c r="X559" s="152" t="e">
        <f>+VLOOKUP($L559,Data_Validation!$A:$F,6,0)</f>
        <v>#N/A</v>
      </c>
    </row>
    <row r="560" spans="1:24" ht="15" customHeight="1">
      <c r="A560" s="708"/>
      <c r="B560" s="708"/>
      <c r="C560" s="709"/>
      <c r="D560" s="709"/>
      <c r="E560" s="709"/>
      <c r="F560" s="708"/>
      <c r="G560" s="708"/>
      <c r="H560" s="709"/>
      <c r="I560" s="710"/>
      <c r="J560" s="710"/>
      <c r="K560" s="710"/>
      <c r="L560" s="149">
        <f t="shared" si="40"/>
        <v>0</v>
      </c>
      <c r="M560" s="150">
        <f t="shared" si="41"/>
        <v>0</v>
      </c>
      <c r="N560" s="151">
        <f>+IF(OR($Q560=Parametres!$G$2,$Q560=Parametres!$G$3),I560,C560)</f>
        <v>0</v>
      </c>
      <c r="O560" s="498">
        <f>+IF(OR($Q560=Parametres!$G$2,$Q560=Parametres!$G$3),J560,D560)</f>
        <v>0</v>
      </c>
      <c r="P560" s="151">
        <f>+IF(OR($Q560=Parametres!$G$2,$Q560=Parametres!$G$3),K560,E560)</f>
        <v>0</v>
      </c>
      <c r="Q560" s="150">
        <f t="shared" si="42"/>
        <v>0</v>
      </c>
      <c r="R560" s="149">
        <f t="shared" si="43"/>
        <v>0</v>
      </c>
      <c r="S560" s="150">
        <f t="shared" si="44"/>
        <v>0</v>
      </c>
      <c r="T560" s="152" t="e">
        <f>+VLOOKUP($L560,Data_Validation!$A:$D,1,0)</f>
        <v>#N/A</v>
      </c>
      <c r="U560" s="152" t="e">
        <f>+VLOOKUP($L560,Data_Validation!$A:$D,3,0)</f>
        <v>#N/A</v>
      </c>
      <c r="V560" s="152" t="e">
        <f>+VLOOKUP($L560,Data_Validation!$A:$D,4,0)</f>
        <v>#N/A</v>
      </c>
      <c r="W560" s="152" t="e">
        <f>+VLOOKUP($L560,Data_Validation!$A:$E,5,0)</f>
        <v>#N/A</v>
      </c>
      <c r="X560" s="152" t="e">
        <f>+VLOOKUP($L560,Data_Validation!$A:$F,6,0)</f>
        <v>#N/A</v>
      </c>
    </row>
    <row r="561" spans="1:24" ht="15" customHeight="1">
      <c r="A561" s="708"/>
      <c r="B561" s="708"/>
      <c r="C561" s="709"/>
      <c r="D561" s="709"/>
      <c r="E561" s="709"/>
      <c r="F561" s="708"/>
      <c r="G561" s="708"/>
      <c r="H561" s="709"/>
      <c r="I561" s="710"/>
      <c r="J561" s="710"/>
      <c r="K561" s="710"/>
      <c r="L561" s="149">
        <f t="shared" si="40"/>
        <v>0</v>
      </c>
      <c r="M561" s="150">
        <f t="shared" si="41"/>
        <v>0</v>
      </c>
      <c r="N561" s="151">
        <f>+IF(OR($Q561=Parametres!$G$2,$Q561=Parametres!$G$3),I561,C561)</f>
        <v>0</v>
      </c>
      <c r="O561" s="497">
        <f>+IF(OR($Q561=Parametres!$G$2,$Q561=Parametres!$G$3),J561,D561)</f>
        <v>0</v>
      </c>
      <c r="P561" s="151">
        <f>+IF(OR($Q561=Parametres!$G$2,$Q561=Parametres!$G$3),K561,E561)</f>
        <v>0</v>
      </c>
      <c r="Q561" s="150">
        <f t="shared" si="42"/>
        <v>0</v>
      </c>
      <c r="R561" s="149">
        <f t="shared" si="43"/>
        <v>0</v>
      </c>
      <c r="S561" s="150">
        <f t="shared" si="44"/>
        <v>0</v>
      </c>
      <c r="T561" s="152" t="e">
        <f>+VLOOKUP($L561,Data_Validation!$A:$D,1,0)</f>
        <v>#N/A</v>
      </c>
      <c r="U561" s="152" t="e">
        <f>+VLOOKUP($L561,Data_Validation!$A:$D,3,0)</f>
        <v>#N/A</v>
      </c>
      <c r="V561" s="152" t="e">
        <f>+VLOOKUP($L561,Data_Validation!$A:$D,4,0)</f>
        <v>#N/A</v>
      </c>
      <c r="W561" s="152" t="e">
        <f>+VLOOKUP($L561,Data_Validation!$A:$E,5,0)</f>
        <v>#N/A</v>
      </c>
      <c r="X561" s="152" t="e">
        <f>+VLOOKUP($L561,Data_Validation!$A:$F,6,0)</f>
        <v>#N/A</v>
      </c>
    </row>
    <row r="562" spans="1:24" ht="15" customHeight="1">
      <c r="A562" s="708"/>
      <c r="B562" s="708"/>
      <c r="C562" s="709"/>
      <c r="D562" s="709"/>
      <c r="E562" s="709"/>
      <c r="F562" s="708"/>
      <c r="G562" s="708"/>
      <c r="H562" s="709"/>
      <c r="I562" s="710"/>
      <c r="J562" s="710"/>
      <c r="K562" s="710"/>
      <c r="L562" s="149">
        <f t="shared" si="40"/>
        <v>0</v>
      </c>
      <c r="M562" s="150">
        <f t="shared" si="41"/>
        <v>0</v>
      </c>
      <c r="N562" s="151">
        <f>+IF(OR($Q562=Parametres!$G$2,$Q562=Parametres!$G$3),I562,C562)</f>
        <v>0</v>
      </c>
      <c r="O562" s="151">
        <f>+IF(OR($Q562=Parametres!$G$2,$Q562=Parametres!$G$3),J562,D562)</f>
        <v>0</v>
      </c>
      <c r="P562" s="151">
        <f>+IF(OR($Q562=Parametres!$G$2,$Q562=Parametres!$G$3),K562,E562)</f>
        <v>0</v>
      </c>
      <c r="Q562" s="150">
        <f t="shared" si="42"/>
        <v>0</v>
      </c>
      <c r="R562" s="149">
        <f t="shared" si="43"/>
        <v>0</v>
      </c>
      <c r="S562" s="150">
        <f t="shared" si="44"/>
        <v>0</v>
      </c>
      <c r="T562" s="152" t="e">
        <f>+VLOOKUP($L562,Data_Validation!$A:$D,1,0)</f>
        <v>#N/A</v>
      </c>
      <c r="U562" s="152" t="e">
        <f>+VLOOKUP($L562,Data_Validation!$A:$D,3,0)</f>
        <v>#N/A</v>
      </c>
      <c r="V562" s="152" t="e">
        <f>+VLOOKUP($L562,Data_Validation!$A:$D,4,0)</f>
        <v>#N/A</v>
      </c>
      <c r="W562" s="152" t="e">
        <f>+VLOOKUP($L562,Data_Validation!$A:$E,5,0)</f>
        <v>#N/A</v>
      </c>
      <c r="X562" s="152" t="e">
        <f>+VLOOKUP($L562,Data_Validation!$A:$F,6,0)</f>
        <v>#N/A</v>
      </c>
    </row>
    <row r="563" spans="1:24" ht="15.75" customHeight="1">
      <c r="A563" s="708"/>
      <c r="B563" s="708"/>
      <c r="C563" s="710"/>
      <c r="D563" s="710"/>
      <c r="E563" s="710"/>
      <c r="F563" s="708"/>
      <c r="G563" s="708"/>
      <c r="H563" s="657"/>
      <c r="I563" s="656"/>
      <c r="J563" s="656"/>
      <c r="K563" s="656"/>
      <c r="L563" s="149">
        <f t="shared" si="40"/>
        <v>0</v>
      </c>
      <c r="M563" s="150">
        <f t="shared" si="41"/>
        <v>0</v>
      </c>
      <c r="N563" s="151">
        <f>+IF(OR($Q563=Parametres!$G$2,$Q563=Parametres!$G$3),I563,C563)</f>
        <v>0</v>
      </c>
      <c r="O563" s="151">
        <f>+IF(OR($Q563=Parametres!$G$2,$Q563=Parametres!$G$3),J563,D563)</f>
        <v>0</v>
      </c>
      <c r="P563" s="151">
        <f>+IF(OR($Q563=Parametres!$G$2,$Q563=Parametres!$G$3),K563,E563)</f>
        <v>0</v>
      </c>
      <c r="Q563" s="150">
        <f t="shared" si="42"/>
        <v>0</v>
      </c>
      <c r="R563" s="149">
        <f t="shared" si="43"/>
        <v>0</v>
      </c>
      <c r="S563" s="150">
        <f t="shared" si="44"/>
        <v>0</v>
      </c>
      <c r="T563" s="152" t="e">
        <f>+VLOOKUP($L563,Data_Validation!$A:$D,1,0)</f>
        <v>#N/A</v>
      </c>
      <c r="U563" s="152" t="e">
        <f>+VLOOKUP($L563,Data_Validation!$A:$D,3,0)</f>
        <v>#N/A</v>
      </c>
      <c r="V563" s="152" t="e">
        <f>+VLOOKUP($L563,Data_Validation!$A:$D,4,0)</f>
        <v>#N/A</v>
      </c>
      <c r="W563" s="152" t="e">
        <f>+VLOOKUP($L563,Data_Validation!$A:$E,5,0)</f>
        <v>#N/A</v>
      </c>
      <c r="X563" s="152" t="e">
        <f>+VLOOKUP($L563,Data_Validation!$A:$F,6,0)</f>
        <v>#N/A</v>
      </c>
    </row>
    <row r="564" spans="1:24" ht="15" customHeight="1">
      <c r="A564" s="708"/>
      <c r="B564" s="708"/>
      <c r="C564" s="709"/>
      <c r="D564" s="709"/>
      <c r="E564" s="709"/>
      <c r="F564" s="708"/>
      <c r="G564" s="708"/>
      <c r="H564" s="709"/>
      <c r="I564" s="710"/>
      <c r="J564" s="710"/>
      <c r="K564" s="710"/>
      <c r="L564" s="149">
        <f t="shared" si="40"/>
        <v>0</v>
      </c>
      <c r="M564" s="150">
        <f t="shared" si="41"/>
        <v>0</v>
      </c>
      <c r="N564" s="151">
        <f>+IF(OR($Q564=Parametres!$G$2,$Q564=Parametres!$G$3),I564,C564)</f>
        <v>0</v>
      </c>
      <c r="O564" s="498">
        <f>+IF(OR($Q564=Parametres!$G$2,$Q564=Parametres!$G$3),J564,D564)</f>
        <v>0</v>
      </c>
      <c r="P564" s="151">
        <f>+IF(OR($Q564=Parametres!$G$2,$Q564=Parametres!$G$3),K564,E564)</f>
        <v>0</v>
      </c>
      <c r="Q564" s="150">
        <f t="shared" si="42"/>
        <v>0</v>
      </c>
      <c r="R564" s="149">
        <f t="shared" si="43"/>
        <v>0</v>
      </c>
      <c r="S564" s="150">
        <f t="shared" si="44"/>
        <v>0</v>
      </c>
      <c r="T564" s="152" t="e">
        <f>+VLOOKUP($L564,Data_Validation!$A:$D,1,0)</f>
        <v>#N/A</v>
      </c>
      <c r="U564" s="152" t="e">
        <f>+VLOOKUP($L564,Data_Validation!$A:$D,3,0)</f>
        <v>#N/A</v>
      </c>
      <c r="V564" s="152" t="e">
        <f>+VLOOKUP($L564,Data_Validation!$A:$D,4,0)</f>
        <v>#N/A</v>
      </c>
      <c r="W564" s="152" t="e">
        <f>+VLOOKUP($L564,Data_Validation!$A:$E,5,0)</f>
        <v>#N/A</v>
      </c>
      <c r="X564" s="152" t="e">
        <f>+VLOOKUP($L564,Data_Validation!$A:$F,6,0)</f>
        <v>#N/A</v>
      </c>
    </row>
    <row r="565" spans="1:24" ht="15" customHeight="1">
      <c r="A565" s="708"/>
      <c r="B565" s="708"/>
      <c r="C565" s="710"/>
      <c r="D565" s="710"/>
      <c r="E565" s="710"/>
      <c r="F565" s="708"/>
      <c r="G565" s="708"/>
      <c r="H565" s="664"/>
      <c r="I565" s="663"/>
      <c r="J565" s="663"/>
      <c r="K565" s="663"/>
      <c r="L565" s="149">
        <f t="shared" si="40"/>
        <v>0</v>
      </c>
      <c r="M565" s="150">
        <f t="shared" si="41"/>
        <v>0</v>
      </c>
      <c r="N565" s="151">
        <f>+IF(OR($Q565=Parametres!$G$2,$Q565=Parametres!$G$3),I565,C565)</f>
        <v>0</v>
      </c>
      <c r="O565" s="151">
        <f>+IF(OR($Q565=Parametres!$G$2,$Q565=Parametres!$G$3),J565,D565)</f>
        <v>0</v>
      </c>
      <c r="P565" s="151">
        <f>+IF(OR($Q565=Parametres!$G$2,$Q565=Parametres!$G$3),K565,E565)</f>
        <v>0</v>
      </c>
      <c r="Q565" s="150">
        <f t="shared" si="42"/>
        <v>0</v>
      </c>
      <c r="R565" s="149">
        <f t="shared" si="43"/>
        <v>0</v>
      </c>
      <c r="S565" s="150">
        <f t="shared" si="44"/>
        <v>0</v>
      </c>
      <c r="T565" s="152" t="e">
        <f>+VLOOKUP($L565,Data_Validation!$A:$D,1,0)</f>
        <v>#N/A</v>
      </c>
      <c r="U565" s="152" t="e">
        <f>+VLOOKUP($L565,Data_Validation!$A:$D,3,0)</f>
        <v>#N/A</v>
      </c>
      <c r="V565" s="152" t="e">
        <f>+VLOOKUP($L565,Data_Validation!$A:$D,4,0)</f>
        <v>#N/A</v>
      </c>
      <c r="W565" s="152" t="e">
        <f>+VLOOKUP($L565,Data_Validation!$A:$E,5,0)</f>
        <v>#N/A</v>
      </c>
      <c r="X565" s="152" t="e">
        <f>+VLOOKUP($L565,Data_Validation!$A:$F,6,0)</f>
        <v>#N/A</v>
      </c>
    </row>
    <row r="566" spans="1:24" ht="15" customHeight="1">
      <c r="A566" s="708"/>
      <c r="B566" s="708"/>
      <c r="C566" s="710"/>
      <c r="D566" s="710"/>
      <c r="E566" s="710"/>
      <c r="F566" s="708"/>
      <c r="G566" s="708"/>
      <c r="H566" s="664"/>
      <c r="I566" s="663"/>
      <c r="J566" s="663"/>
      <c r="K566" s="663"/>
      <c r="L566" s="149">
        <f t="shared" si="40"/>
        <v>0</v>
      </c>
      <c r="M566" s="150">
        <f t="shared" si="41"/>
        <v>0</v>
      </c>
      <c r="N566" s="151">
        <f>+IF(OR($Q566=Parametres!$G$2,$Q566=Parametres!$G$3),I566,C566)</f>
        <v>0</v>
      </c>
      <c r="O566" s="151">
        <f>+IF(OR($Q566=Parametres!$G$2,$Q566=Parametres!$G$3),J566,D566)</f>
        <v>0</v>
      </c>
      <c r="P566" s="151">
        <f>+IF(OR($Q566=Parametres!$G$2,$Q566=Parametres!$G$3),K566,E566)</f>
        <v>0</v>
      </c>
      <c r="Q566" s="150">
        <f t="shared" si="42"/>
        <v>0</v>
      </c>
      <c r="R566" s="149">
        <f t="shared" si="43"/>
        <v>0</v>
      </c>
      <c r="S566" s="150">
        <f t="shared" si="44"/>
        <v>0</v>
      </c>
      <c r="T566" s="152" t="e">
        <f>+VLOOKUP($L566,Data_Validation!$A:$D,1,0)</f>
        <v>#N/A</v>
      </c>
      <c r="U566" s="152" t="e">
        <f>+VLOOKUP($L566,Data_Validation!$A:$D,3,0)</f>
        <v>#N/A</v>
      </c>
      <c r="V566" s="152" t="e">
        <f>+VLOOKUP($L566,Data_Validation!$A:$D,4,0)</f>
        <v>#N/A</v>
      </c>
      <c r="W566" s="152" t="e">
        <f>+VLOOKUP($L566,Data_Validation!$A:$E,5,0)</f>
        <v>#N/A</v>
      </c>
      <c r="X566" s="152" t="e">
        <f>+VLOOKUP($L566,Data_Validation!$A:$F,6,0)</f>
        <v>#N/A</v>
      </c>
    </row>
    <row r="567" spans="1:24" ht="15.75" customHeight="1">
      <c r="A567" s="708"/>
      <c r="B567" s="708"/>
      <c r="C567" s="710"/>
      <c r="D567" s="710"/>
      <c r="E567" s="710"/>
      <c r="F567" s="708"/>
      <c r="G567" s="708"/>
      <c r="H567" s="664"/>
      <c r="I567" s="663"/>
      <c r="J567" s="663"/>
      <c r="K567" s="663"/>
      <c r="L567" s="149">
        <f t="shared" si="40"/>
        <v>0</v>
      </c>
      <c r="M567" s="150">
        <f t="shared" si="41"/>
        <v>0</v>
      </c>
      <c r="N567" s="151">
        <f>+IF(OR($Q567=Parametres!$G$2,$Q567=Parametres!$G$3),I567,C567)</f>
        <v>0</v>
      </c>
      <c r="O567" s="151">
        <f>+IF(OR($Q567=Parametres!$G$2,$Q567=Parametres!$G$3),J567,D567)</f>
        <v>0</v>
      </c>
      <c r="P567" s="151">
        <f>+IF(OR($Q567=Parametres!$G$2,$Q567=Parametres!$G$3),K567,E567)</f>
        <v>0</v>
      </c>
      <c r="Q567" s="150">
        <f t="shared" si="42"/>
        <v>0</v>
      </c>
      <c r="R567" s="149">
        <f t="shared" si="43"/>
        <v>0</v>
      </c>
      <c r="S567" s="150">
        <f t="shared" si="44"/>
        <v>0</v>
      </c>
      <c r="T567" s="152" t="e">
        <f>+VLOOKUP($L567,Data_Validation!$A:$D,1,0)</f>
        <v>#N/A</v>
      </c>
      <c r="U567" s="152" t="e">
        <f>+VLOOKUP($L567,Data_Validation!$A:$D,3,0)</f>
        <v>#N/A</v>
      </c>
      <c r="V567" s="152" t="e">
        <f>+VLOOKUP($L567,Data_Validation!$A:$D,4,0)</f>
        <v>#N/A</v>
      </c>
      <c r="W567" s="152" t="e">
        <f>+VLOOKUP($L567,Data_Validation!$A:$E,5,0)</f>
        <v>#N/A</v>
      </c>
      <c r="X567" s="152" t="e">
        <f>+VLOOKUP($L567,Data_Validation!$A:$F,6,0)</f>
        <v>#N/A</v>
      </c>
    </row>
    <row r="568" spans="1:24" ht="15" customHeight="1">
      <c r="A568" s="708"/>
      <c r="B568" s="708"/>
      <c r="C568" s="710"/>
      <c r="D568" s="710"/>
      <c r="E568" s="710"/>
      <c r="F568" s="708"/>
      <c r="G568" s="708"/>
      <c r="H568" s="600"/>
      <c r="I568" s="153"/>
      <c r="J568" s="153"/>
      <c r="K568" s="153"/>
      <c r="L568" s="149">
        <f t="shared" si="40"/>
        <v>0</v>
      </c>
      <c r="M568" s="150">
        <f t="shared" si="41"/>
        <v>0</v>
      </c>
      <c r="N568" s="151">
        <f>+IF(OR($Q568=Parametres!$G$2,$Q568=Parametres!$G$3),I568,C568)</f>
        <v>0</v>
      </c>
      <c r="O568" s="151">
        <f>+IF(OR($Q568=Parametres!$G$2,$Q568=Parametres!$G$3),J568,D568)</f>
        <v>0</v>
      </c>
      <c r="P568" s="151">
        <f>+IF(OR($Q568=Parametres!$G$2,$Q568=Parametres!$G$3),K568,E568)</f>
        <v>0</v>
      </c>
      <c r="Q568" s="150">
        <f t="shared" si="42"/>
        <v>0</v>
      </c>
      <c r="R568" s="149">
        <f t="shared" si="43"/>
        <v>0</v>
      </c>
      <c r="S568" s="150">
        <f t="shared" si="44"/>
        <v>0</v>
      </c>
      <c r="T568" s="152" t="e">
        <f>+VLOOKUP($L568,Data_Validation!$A:$D,1,0)</f>
        <v>#N/A</v>
      </c>
      <c r="U568" s="152" t="e">
        <f>+VLOOKUP($L568,Data_Validation!$A:$D,3,0)</f>
        <v>#N/A</v>
      </c>
      <c r="V568" s="152" t="e">
        <f>+VLOOKUP($L568,Data_Validation!$A:$D,4,0)</f>
        <v>#N/A</v>
      </c>
      <c r="W568" s="152" t="e">
        <f>+VLOOKUP($L568,Data_Validation!$A:$E,5,0)</f>
        <v>#N/A</v>
      </c>
      <c r="X568" s="152" t="e">
        <f>+VLOOKUP($L568,Data_Validation!$A:$F,6,0)</f>
        <v>#N/A</v>
      </c>
    </row>
    <row r="569" spans="1:24" ht="15" customHeight="1">
      <c r="A569" s="708"/>
      <c r="B569" s="708"/>
      <c r="C569" s="710"/>
      <c r="D569" s="710"/>
      <c r="E569" s="710"/>
      <c r="F569" s="708"/>
      <c r="G569" s="708"/>
      <c r="H569" s="600"/>
      <c r="I569" s="153"/>
      <c r="J569" s="153"/>
      <c r="K569" s="153"/>
      <c r="L569" s="149">
        <f t="shared" si="40"/>
        <v>0</v>
      </c>
      <c r="M569" s="150">
        <f t="shared" si="41"/>
        <v>0</v>
      </c>
      <c r="N569" s="151">
        <f>+IF(OR($Q569=Parametres!$G$2,$Q569=Parametres!$G$3),I569,C569)</f>
        <v>0</v>
      </c>
      <c r="O569" s="151">
        <f>+IF(OR($Q569=Parametres!$G$2,$Q569=Parametres!$G$3),J569,D569)</f>
        <v>0</v>
      </c>
      <c r="P569" s="151">
        <f>+IF(OR($Q569=Parametres!$G$2,$Q569=Parametres!$G$3),K569,E569)</f>
        <v>0</v>
      </c>
      <c r="Q569" s="150">
        <f t="shared" si="42"/>
        <v>0</v>
      </c>
      <c r="R569" s="149">
        <f t="shared" si="43"/>
        <v>0</v>
      </c>
      <c r="S569" s="150">
        <f t="shared" si="44"/>
        <v>0</v>
      </c>
      <c r="T569" s="152" t="e">
        <f>+VLOOKUP($L569,Data_Validation!$A:$D,1,0)</f>
        <v>#N/A</v>
      </c>
      <c r="U569" s="152" t="e">
        <f>+VLOOKUP($L569,Data_Validation!$A:$D,3,0)</f>
        <v>#N/A</v>
      </c>
      <c r="V569" s="152" t="e">
        <f>+VLOOKUP($L569,Data_Validation!$A:$D,4,0)</f>
        <v>#N/A</v>
      </c>
      <c r="W569" s="152" t="e">
        <f>+VLOOKUP($L569,Data_Validation!$A:$E,5,0)</f>
        <v>#N/A</v>
      </c>
      <c r="X569" s="152" t="e">
        <f>+VLOOKUP($L569,Data_Validation!$A:$F,6,0)</f>
        <v>#N/A</v>
      </c>
    </row>
    <row r="570" spans="1:24" ht="15" customHeight="1">
      <c r="A570" s="708"/>
      <c r="B570" s="708"/>
      <c r="C570" s="710"/>
      <c r="D570" s="710"/>
      <c r="E570" s="710"/>
      <c r="F570" s="708"/>
      <c r="G570" s="708"/>
      <c r="H570" s="664"/>
      <c r="I570" s="663"/>
      <c r="J570" s="663"/>
      <c r="K570" s="663"/>
      <c r="L570" s="149">
        <f t="shared" si="40"/>
        <v>0</v>
      </c>
      <c r="M570" s="501">
        <f t="shared" si="41"/>
        <v>0</v>
      </c>
      <c r="N570" s="151">
        <f>+IF(OR($Q570=Parametres!$G$2,$Q570=Parametres!$G$3),I570,C570)</f>
        <v>0</v>
      </c>
      <c r="O570" s="502">
        <f>+IF(OR($Q570=Parametres!$G$2,$Q570=Parametres!$G$3),J570,D570)</f>
        <v>0</v>
      </c>
      <c r="P570" s="503">
        <f>+IF(OR($Q570=Parametres!$G$2,$Q570=Parametres!$G$3),K570,E570)</f>
        <v>0</v>
      </c>
      <c r="Q570" s="150">
        <f t="shared" si="42"/>
        <v>0</v>
      </c>
      <c r="R570" s="149">
        <f t="shared" si="43"/>
        <v>0</v>
      </c>
      <c r="S570" s="150">
        <f t="shared" si="44"/>
        <v>0</v>
      </c>
      <c r="T570" s="152" t="e">
        <f>+VLOOKUP($L570,Data_Validation!$A:$D,1,0)</f>
        <v>#N/A</v>
      </c>
      <c r="U570" s="152" t="e">
        <f>+VLOOKUP($L570,Data_Validation!$A:$D,3,0)</f>
        <v>#N/A</v>
      </c>
      <c r="V570" s="152" t="e">
        <f>+VLOOKUP($L570,Data_Validation!$A:$D,4,0)</f>
        <v>#N/A</v>
      </c>
      <c r="W570" s="152" t="e">
        <f>+VLOOKUP($L570,Data_Validation!$A:$E,5,0)</f>
        <v>#N/A</v>
      </c>
      <c r="X570" s="152" t="e">
        <f>+VLOOKUP($L570,Data_Validation!$A:$F,6,0)</f>
        <v>#N/A</v>
      </c>
    </row>
    <row r="571" spans="1:24" ht="15" customHeight="1">
      <c r="A571" s="708"/>
      <c r="B571" s="708"/>
      <c r="C571" s="710"/>
      <c r="D571" s="710"/>
      <c r="E571" s="710"/>
      <c r="F571" s="708"/>
      <c r="G571" s="708"/>
      <c r="H571" s="664"/>
      <c r="I571" s="664"/>
      <c r="J571" s="664"/>
      <c r="K571" s="664"/>
      <c r="L571" s="149">
        <f t="shared" si="40"/>
        <v>0</v>
      </c>
      <c r="M571" s="150">
        <f t="shared" si="41"/>
        <v>0</v>
      </c>
      <c r="N571" s="151">
        <f>+IF(OR($Q571=Parametres!$G$2,$Q571=Parametres!$G$3),I571,C571)</f>
        <v>0</v>
      </c>
      <c r="O571" s="497">
        <f>+IF(OR($Q571=Parametres!$G$2,$Q571=Parametres!$G$3),J571,D571)</f>
        <v>0</v>
      </c>
      <c r="P571" s="151">
        <f>+IF(OR($Q571=Parametres!$G$2,$Q571=Parametres!$G$3),K571,E571)</f>
        <v>0</v>
      </c>
      <c r="Q571" s="150">
        <f t="shared" si="42"/>
        <v>0</v>
      </c>
      <c r="R571" s="149">
        <f t="shared" si="43"/>
        <v>0</v>
      </c>
      <c r="S571" s="150">
        <f t="shared" si="44"/>
        <v>0</v>
      </c>
      <c r="T571" s="152" t="e">
        <f>+VLOOKUP($L571,Data_Validation!$A:$D,1,0)</f>
        <v>#N/A</v>
      </c>
      <c r="U571" s="152" t="e">
        <f>+VLOOKUP($L571,Data_Validation!$A:$D,3,0)</f>
        <v>#N/A</v>
      </c>
      <c r="V571" s="152" t="e">
        <f>+VLOOKUP($L571,Data_Validation!$A:$D,4,0)</f>
        <v>#N/A</v>
      </c>
      <c r="W571" s="152" t="e">
        <f>+VLOOKUP($L571,Data_Validation!$A:$E,5,0)</f>
        <v>#N/A</v>
      </c>
      <c r="X571" s="152" t="e">
        <f>+VLOOKUP($L571,Data_Validation!$A:$F,6,0)</f>
        <v>#N/A</v>
      </c>
    </row>
    <row r="572" spans="1:24" ht="15.75" customHeight="1">
      <c r="A572" s="708"/>
      <c r="B572" s="708"/>
      <c r="C572" s="710"/>
      <c r="D572" s="710"/>
      <c r="E572" s="710"/>
      <c r="F572" s="708"/>
      <c r="G572" s="708"/>
      <c r="H572" s="664"/>
      <c r="I572" s="663"/>
      <c r="J572" s="663"/>
      <c r="K572" s="663"/>
      <c r="L572" s="149">
        <f t="shared" si="40"/>
        <v>0</v>
      </c>
      <c r="M572" s="150">
        <f t="shared" si="41"/>
        <v>0</v>
      </c>
      <c r="N572" s="151">
        <f>+IF(OR($Q572=Parametres!$G$2,$Q572=Parametres!$G$3),I572,C572)</f>
        <v>0</v>
      </c>
      <c r="O572" s="151">
        <f>+IF(OR($Q572=Parametres!$G$2,$Q572=Parametres!$G$3),J572,D572)</f>
        <v>0</v>
      </c>
      <c r="P572" s="151">
        <f>+IF(OR($Q572=Parametres!$G$2,$Q572=Parametres!$G$3),K572,E572)</f>
        <v>0</v>
      </c>
      <c r="Q572" s="150">
        <f t="shared" si="42"/>
        <v>0</v>
      </c>
      <c r="R572" s="149">
        <f t="shared" si="43"/>
        <v>0</v>
      </c>
      <c r="S572" s="150">
        <f t="shared" si="44"/>
        <v>0</v>
      </c>
      <c r="T572" s="152" t="e">
        <f>+VLOOKUP($L572,Data_Validation!$A:$D,1,0)</f>
        <v>#N/A</v>
      </c>
      <c r="U572" s="152" t="e">
        <f>+VLOOKUP($L572,Data_Validation!$A:$D,3,0)</f>
        <v>#N/A</v>
      </c>
      <c r="V572" s="152" t="e">
        <f>+VLOOKUP($L572,Data_Validation!$A:$D,4,0)</f>
        <v>#N/A</v>
      </c>
      <c r="W572" s="152" t="e">
        <f>+VLOOKUP($L572,Data_Validation!$A:$E,5,0)</f>
        <v>#N/A</v>
      </c>
      <c r="X572" s="152" t="e">
        <f>+VLOOKUP($L572,Data_Validation!$A:$F,6,0)</f>
        <v>#N/A</v>
      </c>
    </row>
    <row r="573" spans="1:24" ht="15" customHeight="1">
      <c r="A573" s="708"/>
      <c r="B573" s="708"/>
      <c r="C573" s="710"/>
      <c r="D573" s="710"/>
      <c r="E573" s="710"/>
      <c r="F573" s="708"/>
      <c r="G573" s="708"/>
      <c r="H573" s="664"/>
      <c r="I573" s="663"/>
      <c r="J573" s="663"/>
      <c r="K573" s="663"/>
      <c r="L573" s="149">
        <f t="shared" si="40"/>
        <v>0</v>
      </c>
      <c r="M573" s="150">
        <f t="shared" si="41"/>
        <v>0</v>
      </c>
      <c r="N573" s="151">
        <f>+IF(OR($Q573=Parametres!$G$2,$Q573=Parametres!$G$3),I573,C573)</f>
        <v>0</v>
      </c>
      <c r="O573" s="499">
        <f>+IF(OR($Q573=Parametres!$G$2,$Q573=Parametres!$G$3),J573,D573)</f>
        <v>0</v>
      </c>
      <c r="P573" s="151">
        <f>+IF(OR($Q573=Parametres!$G$2,$Q573=Parametres!$G$3),K573,E573)</f>
        <v>0</v>
      </c>
      <c r="Q573" s="150">
        <f t="shared" si="42"/>
        <v>0</v>
      </c>
      <c r="R573" s="149">
        <f t="shared" si="43"/>
        <v>0</v>
      </c>
      <c r="S573" s="150">
        <f t="shared" si="44"/>
        <v>0</v>
      </c>
      <c r="T573" s="152" t="e">
        <f>+VLOOKUP($L573,Data_Validation!$A:$D,1,0)</f>
        <v>#N/A</v>
      </c>
      <c r="U573" s="152" t="e">
        <f>+VLOOKUP($L573,Data_Validation!$A:$D,3,0)</f>
        <v>#N/A</v>
      </c>
      <c r="V573" s="152" t="e">
        <f>+VLOOKUP($L573,Data_Validation!$A:$D,4,0)</f>
        <v>#N/A</v>
      </c>
      <c r="W573" s="152" t="e">
        <f>+VLOOKUP($L573,Data_Validation!$A:$E,5,0)</f>
        <v>#N/A</v>
      </c>
      <c r="X573" s="152" t="e">
        <f>+VLOOKUP($L573,Data_Validation!$A:$F,6,0)</f>
        <v>#N/A</v>
      </c>
    </row>
    <row r="574" spans="1:24" ht="15" customHeight="1">
      <c r="A574" s="708"/>
      <c r="B574" s="708"/>
      <c r="C574" s="710"/>
      <c r="D574" s="710"/>
      <c r="E574" s="710"/>
      <c r="F574" s="708"/>
      <c r="G574" s="708"/>
      <c r="H574" s="664"/>
      <c r="I574" s="663"/>
      <c r="J574" s="663"/>
      <c r="K574" s="663"/>
      <c r="L574" s="149">
        <f t="shared" si="40"/>
        <v>0</v>
      </c>
      <c r="M574" s="150">
        <f t="shared" si="41"/>
        <v>0</v>
      </c>
      <c r="N574" s="151">
        <f>+IF(OR($Q574=Parametres!$G$2,$Q574=Parametres!$G$3),I574,C574)</f>
        <v>0</v>
      </c>
      <c r="O574" s="151">
        <f>+IF(OR($Q574=Parametres!$G$2,$Q574=Parametres!$G$3),J574,D574)</f>
        <v>0</v>
      </c>
      <c r="P574" s="151">
        <f>+IF(OR($Q574=Parametres!$G$2,$Q574=Parametres!$G$3),K574,E574)</f>
        <v>0</v>
      </c>
      <c r="Q574" s="150">
        <f t="shared" si="42"/>
        <v>0</v>
      </c>
      <c r="R574" s="149">
        <f t="shared" si="43"/>
        <v>0</v>
      </c>
      <c r="S574" s="150">
        <f t="shared" si="44"/>
        <v>0</v>
      </c>
      <c r="T574" s="152" t="e">
        <f>+VLOOKUP($L574,Data_Validation!$A:$D,1,0)</f>
        <v>#N/A</v>
      </c>
      <c r="U574" s="152" t="e">
        <f>+VLOOKUP($L574,Data_Validation!$A:$D,3,0)</f>
        <v>#N/A</v>
      </c>
      <c r="V574" s="152" t="e">
        <f>+VLOOKUP($L574,Data_Validation!$A:$D,4,0)</f>
        <v>#N/A</v>
      </c>
      <c r="W574" s="152" t="e">
        <f>+VLOOKUP($L574,Data_Validation!$A:$E,5,0)</f>
        <v>#N/A</v>
      </c>
      <c r="X574" s="152" t="e">
        <f>+VLOOKUP($L574,Data_Validation!$A:$F,6,0)</f>
        <v>#N/A</v>
      </c>
    </row>
    <row r="575" spans="1:24" ht="15" customHeight="1">
      <c r="A575" s="708"/>
      <c r="B575" s="708"/>
      <c r="C575" s="710"/>
      <c r="D575" s="710"/>
      <c r="E575" s="710"/>
      <c r="F575" s="708"/>
      <c r="G575" s="708"/>
      <c r="H575" s="664"/>
      <c r="I575" s="663"/>
      <c r="J575" s="663"/>
      <c r="K575" s="663"/>
      <c r="L575" s="149">
        <f t="shared" si="40"/>
        <v>0</v>
      </c>
      <c r="M575" s="150">
        <f t="shared" si="41"/>
        <v>0</v>
      </c>
      <c r="N575" s="151">
        <f>+IF(OR($Q575=Parametres!$G$2,$Q575=Parametres!$G$3),I575,C575)</f>
        <v>0</v>
      </c>
      <c r="O575" s="151">
        <f>+IF(OR($Q575=Parametres!$G$2,$Q575=Parametres!$G$3),J575,D575)</f>
        <v>0</v>
      </c>
      <c r="P575" s="151">
        <f>+IF(OR($Q575=Parametres!$G$2,$Q575=Parametres!$G$3),K575,E575)</f>
        <v>0</v>
      </c>
      <c r="Q575" s="150">
        <f t="shared" si="42"/>
        <v>0</v>
      </c>
      <c r="R575" s="149">
        <f t="shared" si="43"/>
        <v>0</v>
      </c>
      <c r="S575" s="150">
        <f t="shared" si="44"/>
        <v>0</v>
      </c>
      <c r="T575" s="152" t="e">
        <f>+VLOOKUP($L575,Data_Validation!$A:$D,1,0)</f>
        <v>#N/A</v>
      </c>
      <c r="U575" s="152" t="e">
        <f>+VLOOKUP($L575,Data_Validation!$A:$D,3,0)</f>
        <v>#N/A</v>
      </c>
      <c r="V575" s="152" t="e">
        <f>+VLOOKUP($L575,Data_Validation!$A:$D,4,0)</f>
        <v>#N/A</v>
      </c>
      <c r="W575" s="152" t="e">
        <f>+VLOOKUP($L575,Data_Validation!$A:$E,5,0)</f>
        <v>#N/A</v>
      </c>
      <c r="X575" s="152" t="e">
        <f>+VLOOKUP($L575,Data_Validation!$A:$F,6,0)</f>
        <v>#N/A</v>
      </c>
    </row>
    <row r="576" spans="1:24" ht="15" customHeight="1">
      <c r="A576" s="708"/>
      <c r="B576" s="708"/>
      <c r="C576" s="710"/>
      <c r="D576" s="710"/>
      <c r="E576" s="710"/>
      <c r="F576" s="708"/>
      <c r="G576" s="708"/>
      <c r="H576" s="602"/>
      <c r="I576" s="601"/>
      <c r="J576" s="601"/>
      <c r="K576" s="601"/>
      <c r="L576" s="149">
        <f t="shared" si="40"/>
        <v>0</v>
      </c>
      <c r="M576" s="150">
        <f t="shared" si="41"/>
        <v>0</v>
      </c>
      <c r="N576" s="151">
        <f>+IF(OR($Q576=Parametres!$G$2,$Q576=Parametres!$G$3),I576,C576)</f>
        <v>0</v>
      </c>
      <c r="O576" s="497">
        <f>+IF(OR($Q576=Parametres!$G$2,$Q576=Parametres!$G$3),J576,D576)</f>
        <v>0</v>
      </c>
      <c r="P576" s="151">
        <f>+IF(OR($Q576=Parametres!$G$2,$Q576=Parametres!$G$3),K576,E576)</f>
        <v>0</v>
      </c>
      <c r="Q576" s="150">
        <f t="shared" si="42"/>
        <v>0</v>
      </c>
      <c r="R576" s="149">
        <f t="shared" si="43"/>
        <v>0</v>
      </c>
      <c r="S576" s="150">
        <f t="shared" si="44"/>
        <v>0</v>
      </c>
      <c r="T576" s="152" t="e">
        <f>+VLOOKUP($L576,Data_Validation!$A:$D,1,0)</f>
        <v>#N/A</v>
      </c>
      <c r="U576" s="152" t="e">
        <f>+VLOOKUP($L576,Data_Validation!$A:$D,3,0)</f>
        <v>#N/A</v>
      </c>
      <c r="V576" s="152" t="e">
        <f>+VLOOKUP($L576,Data_Validation!$A:$D,4,0)</f>
        <v>#N/A</v>
      </c>
      <c r="W576" s="152" t="e">
        <f>+VLOOKUP($L576,Data_Validation!$A:$E,5,0)</f>
        <v>#N/A</v>
      </c>
      <c r="X576" s="152" t="e">
        <f>+VLOOKUP($L576,Data_Validation!$A:$F,6,0)</f>
        <v>#N/A</v>
      </c>
    </row>
    <row r="577" spans="1:24" ht="15" customHeight="1">
      <c r="A577" s="708"/>
      <c r="B577" s="708"/>
      <c r="C577" s="709"/>
      <c r="D577" s="709"/>
      <c r="E577" s="709"/>
      <c r="F577" s="708"/>
      <c r="G577" s="708"/>
      <c r="H577" s="709"/>
      <c r="I577" s="710"/>
      <c r="J577" s="710"/>
      <c r="K577" s="710"/>
      <c r="L577" s="149">
        <f t="shared" si="40"/>
        <v>0</v>
      </c>
      <c r="M577" s="150">
        <f t="shared" si="41"/>
        <v>0</v>
      </c>
      <c r="N577" s="151">
        <f>+IF(OR($Q577=Parametres!$G$2,$Q577=Parametres!$G$3),I577,C577)</f>
        <v>0</v>
      </c>
      <c r="O577" s="151">
        <f>+IF(OR($Q577=Parametres!$G$2,$Q577=Parametres!$G$3),J577,D577)</f>
        <v>0</v>
      </c>
      <c r="P577" s="151">
        <f>+IF(OR($Q577=Parametres!$G$2,$Q577=Parametres!$G$3),K577,E577)</f>
        <v>0</v>
      </c>
      <c r="Q577" s="150">
        <f t="shared" si="42"/>
        <v>0</v>
      </c>
      <c r="R577" s="149">
        <f t="shared" si="43"/>
        <v>0</v>
      </c>
      <c r="S577" s="150">
        <f t="shared" si="44"/>
        <v>0</v>
      </c>
      <c r="T577" s="152" t="e">
        <f>+VLOOKUP($L577,Data_Validation!$A:$D,1,0)</f>
        <v>#N/A</v>
      </c>
      <c r="U577" s="152" t="e">
        <f>+VLOOKUP($L577,Data_Validation!$A:$D,3,0)</f>
        <v>#N/A</v>
      </c>
      <c r="V577" s="152" t="e">
        <f>+VLOOKUP($L577,Data_Validation!$A:$D,4,0)</f>
        <v>#N/A</v>
      </c>
      <c r="W577" s="152" t="e">
        <f>+VLOOKUP($L577,Data_Validation!$A:$E,5,0)</f>
        <v>#N/A</v>
      </c>
      <c r="X577" s="152" t="e">
        <f>+VLOOKUP($L577,Data_Validation!$A:$F,6,0)</f>
        <v>#N/A</v>
      </c>
    </row>
    <row r="578" spans="1:24" ht="15" customHeight="1">
      <c r="A578" s="708"/>
      <c r="B578" s="708"/>
      <c r="C578" s="710"/>
      <c r="D578" s="710"/>
      <c r="E578" s="710"/>
      <c r="F578" s="708"/>
      <c r="G578" s="708"/>
      <c r="H578" s="664"/>
      <c r="I578" s="664"/>
      <c r="J578" s="664"/>
      <c r="K578" s="664"/>
      <c r="L578" s="149">
        <f t="shared" ref="L578:L641" si="45">+B578</f>
        <v>0</v>
      </c>
      <c r="M578" s="150">
        <f t="shared" ref="M578:M641" si="46">+A578</f>
        <v>0</v>
      </c>
      <c r="N578" s="151">
        <f>+IF(OR($Q578=Parametres!$G$2,$Q578=Parametres!$G$3),I578,C578)</f>
        <v>0</v>
      </c>
      <c r="O578" s="151">
        <f>+IF(OR($Q578=Parametres!$G$2,$Q578=Parametres!$G$3),J578,D578)</f>
        <v>0</v>
      </c>
      <c r="P578" s="151">
        <f>+IF(OR($Q578=Parametres!$G$2,$Q578=Parametres!$G$3),K578,E578)</f>
        <v>0</v>
      </c>
      <c r="Q578" s="150">
        <f t="shared" ref="Q578:Q641" si="47">+F578</f>
        <v>0</v>
      </c>
      <c r="R578" s="149">
        <f t="shared" ref="R578:R641" si="48">+G578</f>
        <v>0</v>
      </c>
      <c r="S578" s="150">
        <f t="shared" ref="S578:S641" si="49">+H578</f>
        <v>0</v>
      </c>
      <c r="T578" s="152" t="e">
        <f>+VLOOKUP($L578,Data_Validation!$A:$D,1,0)</f>
        <v>#N/A</v>
      </c>
      <c r="U578" s="152" t="e">
        <f>+VLOOKUP($L578,Data_Validation!$A:$D,3,0)</f>
        <v>#N/A</v>
      </c>
      <c r="V578" s="152" t="e">
        <f>+VLOOKUP($L578,Data_Validation!$A:$D,4,0)</f>
        <v>#N/A</v>
      </c>
      <c r="W578" s="152" t="e">
        <f>+VLOOKUP($L578,Data_Validation!$A:$E,5,0)</f>
        <v>#N/A</v>
      </c>
      <c r="X578" s="152" t="e">
        <f>+VLOOKUP($L578,Data_Validation!$A:$F,6,0)</f>
        <v>#N/A</v>
      </c>
    </row>
    <row r="579" spans="1:24" ht="15.75" customHeight="1">
      <c r="A579" s="708"/>
      <c r="B579" s="708"/>
      <c r="C579" s="710"/>
      <c r="D579" s="710"/>
      <c r="E579" s="710"/>
      <c r="F579" s="708"/>
      <c r="G579" s="708"/>
      <c r="H579" s="664"/>
      <c r="I579" s="663"/>
      <c r="J579" s="663"/>
      <c r="K579" s="663"/>
      <c r="L579" s="149">
        <f t="shared" si="45"/>
        <v>0</v>
      </c>
      <c r="M579" s="150">
        <f t="shared" si="46"/>
        <v>0</v>
      </c>
      <c r="N579" s="151">
        <f>+IF(OR($Q579=Parametres!$G$2,$Q579=Parametres!$G$3),I579,C579)</f>
        <v>0</v>
      </c>
      <c r="O579" s="151">
        <f>+IF(OR($Q579=Parametres!$G$2,$Q579=Parametres!$G$3),J579,D579)</f>
        <v>0</v>
      </c>
      <c r="P579" s="151">
        <f>+IF(OR($Q579=Parametres!$G$2,$Q579=Parametres!$G$3),K579,E579)</f>
        <v>0</v>
      </c>
      <c r="Q579" s="150">
        <f t="shared" si="47"/>
        <v>0</v>
      </c>
      <c r="R579" s="149">
        <f t="shared" si="48"/>
        <v>0</v>
      </c>
      <c r="S579" s="150">
        <f t="shared" si="49"/>
        <v>0</v>
      </c>
      <c r="T579" s="152" t="e">
        <f>+VLOOKUP($L579,Data_Validation!$A:$D,1,0)</f>
        <v>#N/A</v>
      </c>
      <c r="U579" s="152" t="e">
        <f>+VLOOKUP($L579,Data_Validation!$A:$D,3,0)</f>
        <v>#N/A</v>
      </c>
      <c r="V579" s="152" t="e">
        <f>+VLOOKUP($L579,Data_Validation!$A:$D,4,0)</f>
        <v>#N/A</v>
      </c>
      <c r="W579" s="152" t="e">
        <f>+VLOOKUP($L579,Data_Validation!$A:$E,5,0)</f>
        <v>#N/A</v>
      </c>
      <c r="X579" s="152" t="e">
        <f>+VLOOKUP($L579,Data_Validation!$A:$F,6,0)</f>
        <v>#N/A</v>
      </c>
    </row>
    <row r="580" spans="1:24" ht="15" customHeight="1">
      <c r="A580" s="708"/>
      <c r="B580" s="708"/>
      <c r="C580" s="710"/>
      <c r="D580" s="710"/>
      <c r="E580" s="710"/>
      <c r="F580" s="708"/>
      <c r="G580" s="708"/>
      <c r="H580" s="664"/>
      <c r="I580" s="663"/>
      <c r="J580" s="663"/>
      <c r="K580" s="663"/>
      <c r="L580" s="149">
        <f t="shared" si="45"/>
        <v>0</v>
      </c>
      <c r="M580" s="150">
        <f t="shared" si="46"/>
        <v>0</v>
      </c>
      <c r="N580" s="151">
        <f>+IF(OR($Q580=Parametres!$G$2,$Q580=Parametres!$G$3),I580,C580)</f>
        <v>0</v>
      </c>
      <c r="O580" s="151">
        <f>+IF(OR($Q580=Parametres!$G$2,$Q580=Parametres!$G$3),J580,D580)</f>
        <v>0</v>
      </c>
      <c r="P580" s="151">
        <f>+IF(OR($Q580=Parametres!$G$2,$Q580=Parametres!$G$3),K580,E580)</f>
        <v>0</v>
      </c>
      <c r="Q580" s="150">
        <f t="shared" si="47"/>
        <v>0</v>
      </c>
      <c r="R580" s="149">
        <f t="shared" si="48"/>
        <v>0</v>
      </c>
      <c r="S580" s="150">
        <f t="shared" si="49"/>
        <v>0</v>
      </c>
      <c r="T580" s="152" t="e">
        <f>+VLOOKUP($L580,Data_Validation!$A:$D,1,0)</f>
        <v>#N/A</v>
      </c>
      <c r="U580" s="152" t="e">
        <f>+VLOOKUP($L580,Data_Validation!$A:$D,3,0)</f>
        <v>#N/A</v>
      </c>
      <c r="V580" s="152" t="e">
        <f>+VLOOKUP($L580,Data_Validation!$A:$D,4,0)</f>
        <v>#N/A</v>
      </c>
      <c r="W580" s="152" t="e">
        <f>+VLOOKUP($L580,Data_Validation!$A:$E,5,0)</f>
        <v>#N/A</v>
      </c>
      <c r="X580" s="152" t="e">
        <f>+VLOOKUP($L580,Data_Validation!$A:$F,6,0)</f>
        <v>#N/A</v>
      </c>
    </row>
    <row r="581" spans="1:24" ht="15" customHeight="1">
      <c r="A581" s="708"/>
      <c r="B581" s="708"/>
      <c r="C581" s="709"/>
      <c r="D581" s="709"/>
      <c r="E581" s="709"/>
      <c r="F581" s="708"/>
      <c r="G581" s="708"/>
      <c r="H581" s="709"/>
      <c r="I581" s="710"/>
      <c r="J581" s="710"/>
      <c r="K581" s="710"/>
      <c r="L581" s="149">
        <f t="shared" si="45"/>
        <v>0</v>
      </c>
      <c r="M581" s="150">
        <f t="shared" si="46"/>
        <v>0</v>
      </c>
      <c r="N581" s="151">
        <f>+IF(OR($Q581=Parametres!$G$2,$Q581=Parametres!$G$3),I581,C581)</f>
        <v>0</v>
      </c>
      <c r="O581" s="151">
        <f>+IF(OR($Q581=Parametres!$G$2,$Q581=Parametres!$G$3),J581,D581)</f>
        <v>0</v>
      </c>
      <c r="P581" s="151">
        <f>+IF(OR($Q581=Parametres!$G$2,$Q581=Parametres!$G$3),K581,E581)</f>
        <v>0</v>
      </c>
      <c r="Q581" s="150">
        <f t="shared" si="47"/>
        <v>0</v>
      </c>
      <c r="R581" s="149">
        <f t="shared" si="48"/>
        <v>0</v>
      </c>
      <c r="S581" s="150">
        <f t="shared" si="49"/>
        <v>0</v>
      </c>
      <c r="T581" s="152" t="e">
        <f>+VLOOKUP($L581,Data_Validation!$A:$D,1,0)</f>
        <v>#N/A</v>
      </c>
      <c r="U581" s="152" t="e">
        <f>+VLOOKUP($L581,Data_Validation!$A:$D,3,0)</f>
        <v>#N/A</v>
      </c>
      <c r="V581" s="152" t="e">
        <f>+VLOOKUP($L581,Data_Validation!$A:$D,4,0)</f>
        <v>#N/A</v>
      </c>
      <c r="W581" s="152" t="e">
        <f>+VLOOKUP($L581,Data_Validation!$A:$E,5,0)</f>
        <v>#N/A</v>
      </c>
      <c r="X581" s="152" t="e">
        <f>+VLOOKUP($L581,Data_Validation!$A:$F,6,0)</f>
        <v>#N/A</v>
      </c>
    </row>
    <row r="582" spans="1:24" ht="15" customHeight="1">
      <c r="A582" s="708"/>
      <c r="B582" s="708"/>
      <c r="C582" s="709"/>
      <c r="D582" s="709"/>
      <c r="E582" s="709"/>
      <c r="F582" s="708"/>
      <c r="G582" s="708"/>
      <c r="H582" s="709"/>
      <c r="I582" s="710"/>
      <c r="J582" s="710"/>
      <c r="K582" s="710"/>
      <c r="L582" s="149">
        <f t="shared" si="45"/>
        <v>0</v>
      </c>
      <c r="M582" s="150">
        <f t="shared" si="46"/>
        <v>0</v>
      </c>
      <c r="N582" s="151">
        <f>+IF(OR($Q582=Parametres!$G$2,$Q582=Parametres!$G$3),I582,C582)</f>
        <v>0</v>
      </c>
      <c r="O582" s="151">
        <f>+IF(OR($Q582=Parametres!$G$2,$Q582=Parametres!$G$3),J582,D582)</f>
        <v>0</v>
      </c>
      <c r="P582" s="151">
        <f>+IF(OR($Q582=Parametres!$G$2,$Q582=Parametres!$G$3),K582,E582)</f>
        <v>0</v>
      </c>
      <c r="Q582" s="150">
        <f t="shared" si="47"/>
        <v>0</v>
      </c>
      <c r="R582" s="149">
        <f t="shared" si="48"/>
        <v>0</v>
      </c>
      <c r="S582" s="150">
        <f t="shared" si="49"/>
        <v>0</v>
      </c>
      <c r="T582" s="152" t="e">
        <f>+VLOOKUP($L582,Data_Validation!$A:$D,1,0)</f>
        <v>#N/A</v>
      </c>
      <c r="U582" s="152" t="e">
        <f>+VLOOKUP($L582,Data_Validation!$A:$D,3,0)</f>
        <v>#N/A</v>
      </c>
      <c r="V582" s="152" t="e">
        <f>+VLOOKUP($L582,Data_Validation!$A:$D,4,0)</f>
        <v>#N/A</v>
      </c>
      <c r="W582" s="152" t="e">
        <f>+VLOOKUP($L582,Data_Validation!$A:$E,5,0)</f>
        <v>#N/A</v>
      </c>
      <c r="X582" s="152" t="e">
        <f>+VLOOKUP($L582,Data_Validation!$A:$F,6,0)</f>
        <v>#N/A</v>
      </c>
    </row>
    <row r="583" spans="1:24" ht="15.75" customHeight="1">
      <c r="A583" s="708"/>
      <c r="B583" s="708"/>
      <c r="C583" s="709"/>
      <c r="D583" s="709"/>
      <c r="E583" s="709"/>
      <c r="F583" s="708"/>
      <c r="G583" s="708"/>
      <c r="H583" s="709"/>
      <c r="I583" s="710"/>
      <c r="J583" s="710"/>
      <c r="K583" s="710"/>
      <c r="L583" s="149">
        <f t="shared" si="45"/>
        <v>0</v>
      </c>
      <c r="M583" s="150">
        <f t="shared" si="46"/>
        <v>0</v>
      </c>
      <c r="N583" s="151">
        <f>+IF(OR($Q583=Parametres!$G$2,$Q583=Parametres!$G$3),I583,C583)</f>
        <v>0</v>
      </c>
      <c r="O583" s="151">
        <f>+IF(OR($Q583=Parametres!$G$2,$Q583=Parametres!$G$3),J583,D583)</f>
        <v>0</v>
      </c>
      <c r="P583" s="151">
        <f>+IF(OR($Q583=Parametres!$G$2,$Q583=Parametres!$G$3),K583,E583)</f>
        <v>0</v>
      </c>
      <c r="Q583" s="150">
        <f t="shared" si="47"/>
        <v>0</v>
      </c>
      <c r="R583" s="149">
        <f t="shared" si="48"/>
        <v>0</v>
      </c>
      <c r="S583" s="150">
        <f t="shared" si="49"/>
        <v>0</v>
      </c>
      <c r="T583" s="152" t="e">
        <f>+VLOOKUP($L583,Data_Validation!$A:$D,1,0)</f>
        <v>#N/A</v>
      </c>
      <c r="U583" s="152" t="e">
        <f>+VLOOKUP($L583,Data_Validation!$A:$D,3,0)</f>
        <v>#N/A</v>
      </c>
      <c r="V583" s="152" t="e">
        <f>+VLOOKUP($L583,Data_Validation!$A:$D,4,0)</f>
        <v>#N/A</v>
      </c>
      <c r="W583" s="152" t="e">
        <f>+VLOOKUP($L583,Data_Validation!$A:$E,5,0)</f>
        <v>#N/A</v>
      </c>
      <c r="X583" s="152" t="e">
        <f>+VLOOKUP($L583,Data_Validation!$A:$F,6,0)</f>
        <v>#N/A</v>
      </c>
    </row>
    <row r="584" spans="1:24" ht="15" customHeight="1">
      <c r="A584" s="708"/>
      <c r="B584" s="708"/>
      <c r="C584" s="710"/>
      <c r="D584" s="710"/>
      <c r="E584" s="710"/>
      <c r="F584" s="708"/>
      <c r="G584" s="708"/>
      <c r="H584" s="664"/>
      <c r="I584" s="663"/>
      <c r="J584" s="663"/>
      <c r="K584" s="663"/>
      <c r="L584" s="149">
        <f t="shared" si="45"/>
        <v>0</v>
      </c>
      <c r="M584" s="150">
        <f t="shared" si="46"/>
        <v>0</v>
      </c>
      <c r="N584" s="151">
        <f>+IF(OR($Q584=Parametres!$G$2,$Q584=Parametres!$G$3),I584,C584)</f>
        <v>0</v>
      </c>
      <c r="O584" s="151">
        <f>+IF(OR($Q584=Parametres!$G$2,$Q584=Parametres!$G$3),J584,D584)</f>
        <v>0</v>
      </c>
      <c r="P584" s="151">
        <f>+IF(OR($Q584=Parametres!$G$2,$Q584=Parametres!$G$3),K584,E584)</f>
        <v>0</v>
      </c>
      <c r="Q584" s="150">
        <f t="shared" si="47"/>
        <v>0</v>
      </c>
      <c r="R584" s="149">
        <f t="shared" si="48"/>
        <v>0</v>
      </c>
      <c r="S584" s="150">
        <f t="shared" si="49"/>
        <v>0</v>
      </c>
      <c r="T584" s="152" t="e">
        <f>+VLOOKUP($L584,Data_Validation!$A:$D,1,0)</f>
        <v>#N/A</v>
      </c>
      <c r="U584" s="152" t="e">
        <f>+VLOOKUP($L584,Data_Validation!$A:$D,3,0)</f>
        <v>#N/A</v>
      </c>
      <c r="V584" s="152" t="e">
        <f>+VLOOKUP($L584,Data_Validation!$A:$D,4,0)</f>
        <v>#N/A</v>
      </c>
      <c r="W584" s="152" t="e">
        <f>+VLOOKUP($L584,Data_Validation!$A:$E,5,0)</f>
        <v>#N/A</v>
      </c>
      <c r="X584" s="152" t="e">
        <f>+VLOOKUP($L584,Data_Validation!$A:$F,6,0)</f>
        <v>#N/A</v>
      </c>
    </row>
    <row r="585" spans="1:24" ht="15" customHeight="1">
      <c r="A585" s="708"/>
      <c r="B585" s="708"/>
      <c r="C585" s="710"/>
      <c r="D585" s="710"/>
      <c r="E585" s="710"/>
      <c r="F585" s="708"/>
      <c r="G585" s="708"/>
      <c r="H585" s="657"/>
      <c r="I585" s="656"/>
      <c r="J585" s="656"/>
      <c r="K585" s="656"/>
      <c r="L585" s="149">
        <f t="shared" si="45"/>
        <v>0</v>
      </c>
      <c r="M585" s="150">
        <f t="shared" si="46"/>
        <v>0</v>
      </c>
      <c r="N585" s="151">
        <f>+IF(OR($Q585=Parametres!$G$2,$Q585=Parametres!$G$3),I585,C585)</f>
        <v>0</v>
      </c>
      <c r="O585" s="151">
        <f>+IF(OR($Q585=Parametres!$G$2,$Q585=Parametres!$G$3),J585,D585)</f>
        <v>0</v>
      </c>
      <c r="P585" s="151">
        <f>+IF(OR($Q585=Parametres!$G$2,$Q585=Parametres!$G$3),K585,E585)</f>
        <v>0</v>
      </c>
      <c r="Q585" s="150">
        <f t="shared" si="47"/>
        <v>0</v>
      </c>
      <c r="R585" s="149">
        <f t="shared" si="48"/>
        <v>0</v>
      </c>
      <c r="S585" s="150">
        <f t="shared" si="49"/>
        <v>0</v>
      </c>
      <c r="T585" s="152" t="e">
        <f>+VLOOKUP($L585,Data_Validation!$A:$D,1,0)</f>
        <v>#N/A</v>
      </c>
      <c r="U585" s="152" t="e">
        <f>+VLOOKUP($L585,Data_Validation!$A:$D,3,0)</f>
        <v>#N/A</v>
      </c>
      <c r="V585" s="152" t="e">
        <f>+VLOOKUP($L585,Data_Validation!$A:$D,4,0)</f>
        <v>#N/A</v>
      </c>
      <c r="W585" s="152" t="e">
        <f>+VLOOKUP($L585,Data_Validation!$A:$E,5,0)</f>
        <v>#N/A</v>
      </c>
      <c r="X585" s="152" t="e">
        <f>+VLOOKUP($L585,Data_Validation!$A:$F,6,0)</f>
        <v>#N/A</v>
      </c>
    </row>
    <row r="586" spans="1:24" ht="15" customHeight="1">
      <c r="A586" s="708"/>
      <c r="B586" s="708"/>
      <c r="C586" s="710"/>
      <c r="D586" s="710"/>
      <c r="E586" s="710"/>
      <c r="F586" s="708"/>
      <c r="G586" s="708"/>
      <c r="H586" s="664"/>
      <c r="I586" s="663"/>
      <c r="J586" s="663"/>
      <c r="K586" s="663"/>
      <c r="L586" s="149">
        <f t="shared" si="45"/>
        <v>0</v>
      </c>
      <c r="M586" s="150">
        <f t="shared" si="46"/>
        <v>0</v>
      </c>
      <c r="N586" s="151">
        <f>+IF(OR($Q586=Parametres!$G$2,$Q586=Parametres!$G$3),I586,C586)</f>
        <v>0</v>
      </c>
      <c r="O586" s="151">
        <f>+IF(OR($Q586=Parametres!$G$2,$Q586=Parametres!$G$3),J586,D586)</f>
        <v>0</v>
      </c>
      <c r="P586" s="151">
        <f>+IF(OR($Q586=Parametres!$G$2,$Q586=Parametres!$G$3),K586,E586)</f>
        <v>0</v>
      </c>
      <c r="Q586" s="150">
        <f t="shared" si="47"/>
        <v>0</v>
      </c>
      <c r="R586" s="149">
        <f t="shared" si="48"/>
        <v>0</v>
      </c>
      <c r="S586" s="150">
        <f t="shared" si="49"/>
        <v>0</v>
      </c>
      <c r="T586" s="152" t="e">
        <f>+VLOOKUP($L586,Data_Validation!$A:$D,1,0)</f>
        <v>#N/A</v>
      </c>
      <c r="U586" s="152" t="e">
        <f>+VLOOKUP($L586,Data_Validation!$A:$D,3,0)</f>
        <v>#N/A</v>
      </c>
      <c r="V586" s="152" t="e">
        <f>+VLOOKUP($L586,Data_Validation!$A:$D,4,0)</f>
        <v>#N/A</v>
      </c>
      <c r="W586" s="152" t="e">
        <f>+VLOOKUP($L586,Data_Validation!$A:$E,5,0)</f>
        <v>#N/A</v>
      </c>
      <c r="X586" s="152" t="e">
        <f>+VLOOKUP($L586,Data_Validation!$A:$F,6,0)</f>
        <v>#N/A</v>
      </c>
    </row>
    <row r="587" spans="1:24" ht="15" customHeight="1">
      <c r="A587" s="708"/>
      <c r="B587" s="708"/>
      <c r="C587" s="710"/>
      <c r="D587" s="710"/>
      <c r="E587" s="710"/>
      <c r="F587" s="708"/>
      <c r="G587" s="708"/>
      <c r="H587" s="664"/>
      <c r="I587" s="663"/>
      <c r="J587" s="663"/>
      <c r="K587" s="663"/>
      <c r="L587" s="149">
        <f t="shared" si="45"/>
        <v>0</v>
      </c>
      <c r="M587" s="150">
        <f t="shared" si="46"/>
        <v>0</v>
      </c>
      <c r="N587" s="151">
        <f>+IF(OR($Q587=Parametres!$G$2,$Q587=Parametres!$G$3),I587,C587)</f>
        <v>0</v>
      </c>
      <c r="O587" s="151">
        <f>+IF(OR($Q587=Parametres!$G$2,$Q587=Parametres!$G$3),J587,D587)</f>
        <v>0</v>
      </c>
      <c r="P587" s="151">
        <f>+IF(OR($Q587=Parametres!$G$2,$Q587=Parametres!$G$3),K587,E587)</f>
        <v>0</v>
      </c>
      <c r="Q587" s="150">
        <f t="shared" si="47"/>
        <v>0</v>
      </c>
      <c r="R587" s="149">
        <f t="shared" si="48"/>
        <v>0</v>
      </c>
      <c r="S587" s="150">
        <f t="shared" si="49"/>
        <v>0</v>
      </c>
      <c r="T587" s="152" t="e">
        <f>+VLOOKUP($L587,Data_Validation!$A:$D,1,0)</f>
        <v>#N/A</v>
      </c>
      <c r="U587" s="152" t="e">
        <f>+VLOOKUP($L587,Data_Validation!$A:$D,3,0)</f>
        <v>#N/A</v>
      </c>
      <c r="V587" s="152" t="e">
        <f>+VLOOKUP($L587,Data_Validation!$A:$D,4,0)</f>
        <v>#N/A</v>
      </c>
      <c r="W587" s="152" t="e">
        <f>+VLOOKUP($L587,Data_Validation!$A:$E,5,0)</f>
        <v>#N/A</v>
      </c>
      <c r="X587" s="152" t="e">
        <f>+VLOOKUP($L587,Data_Validation!$A:$F,6,0)</f>
        <v>#N/A</v>
      </c>
    </row>
    <row r="588" spans="1:24" ht="15" customHeight="1">
      <c r="A588" s="708"/>
      <c r="B588" s="708"/>
      <c r="C588" s="710"/>
      <c r="D588" s="710"/>
      <c r="E588" s="710"/>
      <c r="F588" s="708"/>
      <c r="G588" s="708"/>
      <c r="H588" s="664"/>
      <c r="I588" s="663"/>
      <c r="J588" s="663"/>
      <c r="K588" s="663"/>
      <c r="L588" s="149">
        <f t="shared" si="45"/>
        <v>0</v>
      </c>
      <c r="M588" s="150">
        <f t="shared" si="46"/>
        <v>0</v>
      </c>
      <c r="N588" s="151">
        <f>+IF(OR($Q588=Parametres!$G$2,$Q588=Parametres!$G$3),I588,C588)</f>
        <v>0</v>
      </c>
      <c r="O588" s="151">
        <f>+IF(OR($Q588=Parametres!$G$2,$Q588=Parametres!$G$3),J588,D588)</f>
        <v>0</v>
      </c>
      <c r="P588" s="151">
        <f>+IF(OR($Q588=Parametres!$G$2,$Q588=Parametres!$G$3),K588,E588)</f>
        <v>0</v>
      </c>
      <c r="Q588" s="150">
        <f t="shared" si="47"/>
        <v>0</v>
      </c>
      <c r="R588" s="149">
        <f t="shared" si="48"/>
        <v>0</v>
      </c>
      <c r="S588" s="150">
        <f t="shared" si="49"/>
        <v>0</v>
      </c>
      <c r="T588" s="152" t="e">
        <f>+VLOOKUP($L588,Data_Validation!$A:$D,1,0)</f>
        <v>#N/A</v>
      </c>
      <c r="U588" s="152" t="e">
        <f>+VLOOKUP($L588,Data_Validation!$A:$D,3,0)</f>
        <v>#N/A</v>
      </c>
      <c r="V588" s="152" t="e">
        <f>+VLOOKUP($L588,Data_Validation!$A:$D,4,0)</f>
        <v>#N/A</v>
      </c>
      <c r="W588" s="152" t="e">
        <f>+VLOOKUP($L588,Data_Validation!$A:$E,5,0)</f>
        <v>#N/A</v>
      </c>
      <c r="X588" s="152" t="e">
        <f>+VLOOKUP($L588,Data_Validation!$A:$F,6,0)</f>
        <v>#N/A</v>
      </c>
    </row>
    <row r="589" spans="1:24" ht="15" customHeight="1">
      <c r="A589" s="708"/>
      <c r="B589" s="708"/>
      <c r="C589" s="710"/>
      <c r="D589" s="710"/>
      <c r="E589" s="710"/>
      <c r="F589" s="708"/>
      <c r="G589" s="708"/>
      <c r="H589" s="664"/>
      <c r="I589" s="663"/>
      <c r="J589" s="663"/>
      <c r="K589" s="663"/>
      <c r="L589" s="149">
        <f t="shared" si="45"/>
        <v>0</v>
      </c>
      <c r="M589" s="150">
        <f t="shared" si="46"/>
        <v>0</v>
      </c>
      <c r="N589" s="151">
        <f>+IF(OR($Q589=Parametres!$G$2,$Q589=Parametres!$G$3),I589,C589)</f>
        <v>0</v>
      </c>
      <c r="O589" s="151">
        <f>+IF(OR($Q589=Parametres!$G$2,$Q589=Parametres!$G$3),J589,D589)</f>
        <v>0</v>
      </c>
      <c r="P589" s="151">
        <f>+IF(OR($Q589=Parametres!$G$2,$Q589=Parametres!$G$3),K589,E589)</f>
        <v>0</v>
      </c>
      <c r="Q589" s="150">
        <f t="shared" si="47"/>
        <v>0</v>
      </c>
      <c r="R589" s="149">
        <f t="shared" si="48"/>
        <v>0</v>
      </c>
      <c r="S589" s="150">
        <f t="shared" si="49"/>
        <v>0</v>
      </c>
      <c r="T589" s="152" t="e">
        <f>+VLOOKUP($L589,Data_Validation!$A:$D,1,0)</f>
        <v>#N/A</v>
      </c>
      <c r="U589" s="152" t="e">
        <f>+VLOOKUP($L589,Data_Validation!$A:$D,3,0)</f>
        <v>#N/A</v>
      </c>
      <c r="V589" s="152" t="e">
        <f>+VLOOKUP($L589,Data_Validation!$A:$D,4,0)</f>
        <v>#N/A</v>
      </c>
      <c r="W589" s="152" t="e">
        <f>+VLOOKUP($L589,Data_Validation!$A:$E,5,0)</f>
        <v>#N/A</v>
      </c>
      <c r="X589" s="152" t="e">
        <f>+VLOOKUP($L589,Data_Validation!$A:$F,6,0)</f>
        <v>#N/A</v>
      </c>
    </row>
    <row r="590" spans="1:24" ht="15" customHeight="1">
      <c r="A590" s="708"/>
      <c r="B590" s="708"/>
      <c r="C590" s="709"/>
      <c r="D590" s="709"/>
      <c r="E590" s="709"/>
      <c r="F590" s="708"/>
      <c r="G590" s="708"/>
      <c r="H590" s="709"/>
      <c r="I590" s="710"/>
      <c r="J590" s="710"/>
      <c r="K590" s="710"/>
      <c r="L590" s="149">
        <f t="shared" si="45"/>
        <v>0</v>
      </c>
      <c r="M590" s="150">
        <f t="shared" si="46"/>
        <v>0</v>
      </c>
      <c r="N590" s="151">
        <f>+IF(OR($Q590=Parametres!$G$2,$Q590=Parametres!$G$3),I590,C590)</f>
        <v>0</v>
      </c>
      <c r="O590" s="497">
        <f>+IF(OR($Q590=Parametres!$G$2,$Q590=Parametres!$G$3),J590,D590)</f>
        <v>0</v>
      </c>
      <c r="P590" s="151">
        <f>+IF(OR($Q590=Parametres!$G$2,$Q590=Parametres!$G$3),K590,E590)</f>
        <v>0</v>
      </c>
      <c r="Q590" s="150">
        <f t="shared" si="47"/>
        <v>0</v>
      </c>
      <c r="R590" s="149">
        <f t="shared" si="48"/>
        <v>0</v>
      </c>
      <c r="S590" s="150">
        <f t="shared" si="49"/>
        <v>0</v>
      </c>
      <c r="T590" s="152" t="e">
        <f>+VLOOKUP($L590,Data_Validation!$A:$D,1,0)</f>
        <v>#N/A</v>
      </c>
      <c r="U590" s="152" t="e">
        <f>+VLOOKUP($L590,Data_Validation!$A:$D,3,0)</f>
        <v>#N/A</v>
      </c>
      <c r="V590" s="152" t="e">
        <f>+VLOOKUP($L590,Data_Validation!$A:$D,4,0)</f>
        <v>#N/A</v>
      </c>
      <c r="W590" s="152" t="e">
        <f>+VLOOKUP($L590,Data_Validation!$A:$E,5,0)</f>
        <v>#N/A</v>
      </c>
      <c r="X590" s="152" t="e">
        <f>+VLOOKUP($L590,Data_Validation!$A:$F,6,0)</f>
        <v>#N/A</v>
      </c>
    </row>
    <row r="591" spans="1:24" ht="15" customHeight="1">
      <c r="A591" s="708"/>
      <c r="B591" s="708"/>
      <c r="C591" s="709"/>
      <c r="D591" s="709"/>
      <c r="E591" s="709"/>
      <c r="F591" s="708"/>
      <c r="G591" s="708"/>
      <c r="H591" s="709"/>
      <c r="I591" s="710"/>
      <c r="J591" s="710"/>
      <c r="K591" s="710"/>
      <c r="L591" s="149">
        <f t="shared" si="45"/>
        <v>0</v>
      </c>
      <c r="M591" s="150">
        <f t="shared" si="46"/>
        <v>0</v>
      </c>
      <c r="N591" s="151">
        <f>+IF(OR($Q591=Parametres!$G$2,$Q591=Parametres!$G$3),I591,C591)</f>
        <v>0</v>
      </c>
      <c r="O591" s="498">
        <f>+IF(OR($Q591=Parametres!$G$2,$Q591=Parametres!$G$3),J591,D591)</f>
        <v>0</v>
      </c>
      <c r="P591" s="151">
        <f>+IF(OR($Q591=Parametres!$G$2,$Q591=Parametres!$G$3),K591,E591)</f>
        <v>0</v>
      </c>
      <c r="Q591" s="150">
        <f t="shared" si="47"/>
        <v>0</v>
      </c>
      <c r="R591" s="149">
        <f t="shared" si="48"/>
        <v>0</v>
      </c>
      <c r="S591" s="150">
        <f t="shared" si="49"/>
        <v>0</v>
      </c>
      <c r="T591" s="152" t="e">
        <f>+VLOOKUP($L591,Data_Validation!$A:$D,1,0)</f>
        <v>#N/A</v>
      </c>
      <c r="U591" s="152" t="e">
        <f>+VLOOKUP($L591,Data_Validation!$A:$D,3,0)</f>
        <v>#N/A</v>
      </c>
      <c r="V591" s="152" t="e">
        <f>+VLOOKUP($L591,Data_Validation!$A:$D,4,0)</f>
        <v>#N/A</v>
      </c>
      <c r="W591" s="152" t="e">
        <f>+VLOOKUP($L591,Data_Validation!$A:$E,5,0)</f>
        <v>#N/A</v>
      </c>
      <c r="X591" s="152" t="e">
        <f>+VLOOKUP($L591,Data_Validation!$A:$F,6,0)</f>
        <v>#N/A</v>
      </c>
    </row>
    <row r="592" spans="1:24" ht="15" customHeight="1">
      <c r="A592" s="708"/>
      <c r="B592" s="708"/>
      <c r="C592" s="709"/>
      <c r="D592" s="709"/>
      <c r="E592" s="709"/>
      <c r="F592" s="708"/>
      <c r="G592" s="708"/>
      <c r="H592" s="709"/>
      <c r="I592" s="710"/>
      <c r="J592" s="710"/>
      <c r="K592" s="710"/>
      <c r="L592" s="149">
        <f t="shared" si="45"/>
        <v>0</v>
      </c>
      <c r="M592" s="150">
        <f t="shared" si="46"/>
        <v>0</v>
      </c>
      <c r="N592" s="151">
        <f>+IF(OR($Q592=Parametres!$G$2,$Q592=Parametres!$G$3),I592,C592)</f>
        <v>0</v>
      </c>
      <c r="O592" s="497">
        <f>+IF(OR($Q592=Parametres!$G$2,$Q592=Parametres!$G$3),J592,D592)</f>
        <v>0</v>
      </c>
      <c r="P592" s="151">
        <f>+IF(OR($Q592=Parametres!$G$2,$Q592=Parametres!$G$3),K592,E592)</f>
        <v>0</v>
      </c>
      <c r="Q592" s="150">
        <f t="shared" si="47"/>
        <v>0</v>
      </c>
      <c r="R592" s="149">
        <f t="shared" si="48"/>
        <v>0</v>
      </c>
      <c r="S592" s="150">
        <f t="shared" si="49"/>
        <v>0</v>
      </c>
      <c r="T592" s="152" t="e">
        <f>+VLOOKUP($L592,Data_Validation!$A:$D,1,0)</f>
        <v>#N/A</v>
      </c>
      <c r="U592" s="152" t="e">
        <f>+VLOOKUP($L592,Data_Validation!$A:$D,3,0)</f>
        <v>#N/A</v>
      </c>
      <c r="V592" s="152" t="e">
        <f>+VLOOKUP($L592,Data_Validation!$A:$D,4,0)</f>
        <v>#N/A</v>
      </c>
      <c r="W592" s="152" t="e">
        <f>+VLOOKUP($L592,Data_Validation!$A:$E,5,0)</f>
        <v>#N/A</v>
      </c>
      <c r="X592" s="152" t="e">
        <f>+VLOOKUP($L592,Data_Validation!$A:$F,6,0)</f>
        <v>#N/A</v>
      </c>
    </row>
    <row r="593" spans="1:24" ht="15" customHeight="1">
      <c r="A593" s="708"/>
      <c r="B593" s="708"/>
      <c r="C593" s="709"/>
      <c r="D593" s="709"/>
      <c r="E593" s="709"/>
      <c r="F593" s="708"/>
      <c r="G593" s="708"/>
      <c r="H593" s="709"/>
      <c r="I593" s="710"/>
      <c r="J593" s="710"/>
      <c r="K593" s="710"/>
      <c r="L593" s="149">
        <f t="shared" si="45"/>
        <v>0</v>
      </c>
      <c r="M593" s="150">
        <f t="shared" si="46"/>
        <v>0</v>
      </c>
      <c r="N593" s="151">
        <f>+IF(OR($Q593=Parametres!$G$2,$Q593=Parametres!$G$3),I593,C593)</f>
        <v>0</v>
      </c>
      <c r="O593" s="498">
        <f>+IF(OR($Q593=Parametres!$G$2,$Q593=Parametres!$G$3),J593,D593)</f>
        <v>0</v>
      </c>
      <c r="P593" s="151">
        <f>+IF(OR($Q593=Parametres!$G$2,$Q593=Parametres!$G$3),K593,E593)</f>
        <v>0</v>
      </c>
      <c r="Q593" s="150">
        <f t="shared" si="47"/>
        <v>0</v>
      </c>
      <c r="R593" s="149">
        <f t="shared" si="48"/>
        <v>0</v>
      </c>
      <c r="S593" s="150">
        <f t="shared" si="49"/>
        <v>0</v>
      </c>
      <c r="T593" s="152" t="e">
        <f>+VLOOKUP($L593,Data_Validation!$A:$D,1,0)</f>
        <v>#N/A</v>
      </c>
      <c r="U593" s="152" t="e">
        <f>+VLOOKUP($L593,Data_Validation!$A:$D,3,0)</f>
        <v>#N/A</v>
      </c>
      <c r="V593" s="152" t="e">
        <f>+VLOOKUP($L593,Data_Validation!$A:$D,4,0)</f>
        <v>#N/A</v>
      </c>
      <c r="W593" s="152" t="e">
        <f>+VLOOKUP($L593,Data_Validation!$A:$E,5,0)</f>
        <v>#N/A</v>
      </c>
      <c r="X593" s="152" t="e">
        <f>+VLOOKUP($L593,Data_Validation!$A:$F,6,0)</f>
        <v>#N/A</v>
      </c>
    </row>
    <row r="594" spans="1:24" ht="15" customHeight="1">
      <c r="A594" s="708"/>
      <c r="B594" s="708"/>
      <c r="C594" s="710"/>
      <c r="D594" s="710"/>
      <c r="E594" s="710"/>
      <c r="F594" s="708"/>
      <c r="G594" s="708"/>
      <c r="H594" s="664"/>
      <c r="I594" s="663"/>
      <c r="J594" s="663"/>
      <c r="K594" s="663"/>
      <c r="L594" s="149">
        <f t="shared" si="45"/>
        <v>0</v>
      </c>
      <c r="M594" s="150">
        <f t="shared" si="46"/>
        <v>0</v>
      </c>
      <c r="N594" s="151">
        <f>+IF(OR($Q594=Parametres!$G$2,$Q594=Parametres!$G$3),I594,C594)</f>
        <v>0</v>
      </c>
      <c r="O594" s="151">
        <f>+IF(OR($Q594=Parametres!$G$2,$Q594=Parametres!$G$3),J594,D594)</f>
        <v>0</v>
      </c>
      <c r="P594" s="151">
        <f>+IF(OR($Q594=Parametres!$G$2,$Q594=Parametres!$G$3),K594,E594)</f>
        <v>0</v>
      </c>
      <c r="Q594" s="150">
        <f t="shared" si="47"/>
        <v>0</v>
      </c>
      <c r="R594" s="149">
        <f t="shared" si="48"/>
        <v>0</v>
      </c>
      <c r="S594" s="150">
        <f t="shared" si="49"/>
        <v>0</v>
      </c>
      <c r="T594" s="152" t="e">
        <f>+VLOOKUP($L594,Data_Validation!$A:$D,1,0)</f>
        <v>#N/A</v>
      </c>
      <c r="U594" s="152" t="e">
        <f>+VLOOKUP($L594,Data_Validation!$A:$D,3,0)</f>
        <v>#N/A</v>
      </c>
      <c r="V594" s="152" t="e">
        <f>+VLOOKUP($L594,Data_Validation!$A:$D,4,0)</f>
        <v>#N/A</v>
      </c>
      <c r="W594" s="152" t="e">
        <f>+VLOOKUP($L594,Data_Validation!$A:$E,5,0)</f>
        <v>#N/A</v>
      </c>
      <c r="X594" s="152" t="e">
        <f>+VLOOKUP($L594,Data_Validation!$A:$F,6,0)</f>
        <v>#N/A</v>
      </c>
    </row>
    <row r="595" spans="1:24" ht="15" customHeight="1">
      <c r="A595" s="708"/>
      <c r="B595" s="708"/>
      <c r="C595" s="710"/>
      <c r="D595" s="710"/>
      <c r="E595" s="710"/>
      <c r="F595" s="708"/>
      <c r="G595" s="708"/>
      <c r="H595" s="664"/>
      <c r="I595" s="663"/>
      <c r="J595" s="663"/>
      <c r="K595" s="663"/>
      <c r="L595" s="149">
        <f t="shared" si="45"/>
        <v>0</v>
      </c>
      <c r="M595" s="150">
        <f t="shared" si="46"/>
        <v>0</v>
      </c>
      <c r="N595" s="151">
        <f>+IF(OR($Q595=Parametres!$G$2,$Q595=Parametres!$G$3),I595,C595)</f>
        <v>0</v>
      </c>
      <c r="O595" s="151">
        <f>+IF(OR($Q595=Parametres!$G$2,$Q595=Parametres!$G$3),J595,D595)</f>
        <v>0</v>
      </c>
      <c r="P595" s="151">
        <f>+IF(OR($Q595=Parametres!$G$2,$Q595=Parametres!$G$3),K595,E595)</f>
        <v>0</v>
      </c>
      <c r="Q595" s="150">
        <f t="shared" si="47"/>
        <v>0</v>
      </c>
      <c r="R595" s="149">
        <f t="shared" si="48"/>
        <v>0</v>
      </c>
      <c r="S595" s="150">
        <f t="shared" si="49"/>
        <v>0</v>
      </c>
      <c r="T595" s="152" t="e">
        <f>+VLOOKUP($L595,Data_Validation!$A:$D,1,0)</f>
        <v>#N/A</v>
      </c>
      <c r="U595" s="152" t="e">
        <f>+VLOOKUP($L595,Data_Validation!$A:$D,3,0)</f>
        <v>#N/A</v>
      </c>
      <c r="V595" s="152" t="e">
        <f>+VLOOKUP($L595,Data_Validation!$A:$D,4,0)</f>
        <v>#N/A</v>
      </c>
      <c r="W595" s="152" t="e">
        <f>+VLOOKUP($L595,Data_Validation!$A:$E,5,0)</f>
        <v>#N/A</v>
      </c>
      <c r="X595" s="152" t="e">
        <f>+VLOOKUP($L595,Data_Validation!$A:$F,6,0)</f>
        <v>#N/A</v>
      </c>
    </row>
    <row r="596" spans="1:24" ht="15" customHeight="1">
      <c r="A596" s="708"/>
      <c r="B596" s="708"/>
      <c r="C596" s="710"/>
      <c r="D596" s="710"/>
      <c r="E596" s="710"/>
      <c r="F596" s="708"/>
      <c r="G596" s="708"/>
      <c r="H596" s="600"/>
      <c r="I596" s="153"/>
      <c r="J596" s="153"/>
      <c r="K596" s="153"/>
      <c r="L596" s="149">
        <f t="shared" si="45"/>
        <v>0</v>
      </c>
      <c r="M596" s="150">
        <f t="shared" si="46"/>
        <v>0</v>
      </c>
      <c r="N596" s="151">
        <f>+IF(OR($Q596=Parametres!$G$2,$Q596=Parametres!$G$3),I596,C596)</f>
        <v>0</v>
      </c>
      <c r="O596" s="151">
        <f>+IF(OR($Q596=Parametres!$G$2,$Q596=Parametres!$G$3),J596,D596)</f>
        <v>0</v>
      </c>
      <c r="P596" s="151">
        <f>+IF(OR($Q596=Parametres!$G$2,$Q596=Parametres!$G$3),K596,E596)</f>
        <v>0</v>
      </c>
      <c r="Q596" s="150">
        <f t="shared" si="47"/>
        <v>0</v>
      </c>
      <c r="R596" s="149">
        <f t="shared" si="48"/>
        <v>0</v>
      </c>
      <c r="S596" s="150">
        <f t="shared" si="49"/>
        <v>0</v>
      </c>
      <c r="T596" s="152" t="e">
        <f>+VLOOKUP($L596,Data_Validation!$A:$D,1,0)</f>
        <v>#N/A</v>
      </c>
      <c r="U596" s="152" t="e">
        <f>+VLOOKUP($L596,Data_Validation!$A:$D,3,0)</f>
        <v>#N/A</v>
      </c>
      <c r="V596" s="152" t="e">
        <f>+VLOOKUP($L596,Data_Validation!$A:$D,4,0)</f>
        <v>#N/A</v>
      </c>
      <c r="W596" s="152" t="e">
        <f>+VLOOKUP($L596,Data_Validation!$A:$E,5,0)</f>
        <v>#N/A</v>
      </c>
      <c r="X596" s="152" t="e">
        <f>+VLOOKUP($L596,Data_Validation!$A:$F,6,0)</f>
        <v>#N/A</v>
      </c>
    </row>
    <row r="597" spans="1:24" ht="15" customHeight="1">
      <c r="A597" s="708"/>
      <c r="B597" s="708"/>
      <c r="C597" s="710"/>
      <c r="D597" s="710"/>
      <c r="E597" s="710"/>
      <c r="F597" s="708"/>
      <c r="G597" s="708"/>
      <c r="H597" s="709"/>
      <c r="I597" s="709"/>
      <c r="J597" s="709"/>
      <c r="K597" s="709"/>
      <c r="L597" s="149">
        <f t="shared" si="45"/>
        <v>0</v>
      </c>
      <c r="M597" s="150">
        <f t="shared" si="46"/>
        <v>0</v>
      </c>
      <c r="N597" s="151">
        <f>+IF(OR($Q597=Parametres!$G$2,$Q597=Parametres!$G$3),I597,C597)</f>
        <v>0</v>
      </c>
      <c r="O597" s="151">
        <f>+IF(OR($Q597=Parametres!$G$2,$Q597=Parametres!$G$3),J597,D597)</f>
        <v>0</v>
      </c>
      <c r="P597" s="151">
        <f>+IF(OR($Q597=Parametres!$G$2,$Q597=Parametres!$G$3),K597,E597)</f>
        <v>0</v>
      </c>
      <c r="Q597" s="150">
        <f t="shared" si="47"/>
        <v>0</v>
      </c>
      <c r="R597" s="149">
        <f t="shared" si="48"/>
        <v>0</v>
      </c>
      <c r="S597" s="150">
        <f t="shared" si="49"/>
        <v>0</v>
      </c>
      <c r="T597" s="152" t="e">
        <f>+VLOOKUP($L597,Data_Validation!$A:$D,1,0)</f>
        <v>#N/A</v>
      </c>
      <c r="U597" s="152" t="e">
        <f>+VLOOKUP($L597,Data_Validation!$A:$D,3,0)</f>
        <v>#N/A</v>
      </c>
      <c r="V597" s="152" t="e">
        <f>+VLOOKUP($L597,Data_Validation!$A:$D,4,0)</f>
        <v>#N/A</v>
      </c>
      <c r="W597" s="152" t="e">
        <f>+VLOOKUP($L597,Data_Validation!$A:$E,5,0)</f>
        <v>#N/A</v>
      </c>
      <c r="X597" s="152" t="e">
        <f>+VLOOKUP($L597,Data_Validation!$A:$F,6,0)</f>
        <v>#N/A</v>
      </c>
    </row>
    <row r="598" spans="1:24" ht="15" customHeight="1">
      <c r="A598" s="708"/>
      <c r="B598" s="708"/>
      <c r="C598" s="710"/>
      <c r="D598" s="710"/>
      <c r="E598" s="710"/>
      <c r="F598" s="708"/>
      <c r="G598" s="708"/>
      <c r="H598" s="709"/>
      <c r="I598" s="709"/>
      <c r="J598" s="709"/>
      <c r="K598" s="709"/>
      <c r="L598" s="149">
        <f t="shared" si="45"/>
        <v>0</v>
      </c>
      <c r="M598" s="150">
        <f t="shared" si="46"/>
        <v>0</v>
      </c>
      <c r="N598" s="151">
        <f>+IF(OR($Q598=Parametres!$G$2,$Q598=Parametres!$G$3),I598,C598)</f>
        <v>0</v>
      </c>
      <c r="O598" s="497">
        <f>+IF(OR($Q598=Parametres!$G$2,$Q598=Parametres!$G$3),J598,D598)</f>
        <v>0</v>
      </c>
      <c r="P598" s="151">
        <f>+IF(OR($Q598=Parametres!$G$2,$Q598=Parametres!$G$3),K598,E598)</f>
        <v>0</v>
      </c>
      <c r="Q598" s="150">
        <f t="shared" si="47"/>
        <v>0</v>
      </c>
      <c r="R598" s="149">
        <f t="shared" si="48"/>
        <v>0</v>
      </c>
      <c r="S598" s="150">
        <f t="shared" si="49"/>
        <v>0</v>
      </c>
      <c r="T598" s="152" t="e">
        <f>+VLOOKUP($L598,Data_Validation!$A:$D,1,0)</f>
        <v>#N/A</v>
      </c>
      <c r="U598" s="152" t="e">
        <f>+VLOOKUP($L598,Data_Validation!$A:$D,3,0)</f>
        <v>#N/A</v>
      </c>
      <c r="V598" s="152" t="e">
        <f>+VLOOKUP($L598,Data_Validation!$A:$D,4,0)</f>
        <v>#N/A</v>
      </c>
      <c r="W598" s="152" t="e">
        <f>+VLOOKUP($L598,Data_Validation!$A:$E,5,0)</f>
        <v>#N/A</v>
      </c>
      <c r="X598" s="152" t="e">
        <f>+VLOOKUP($L598,Data_Validation!$A:$F,6,0)</f>
        <v>#N/A</v>
      </c>
    </row>
    <row r="599" spans="1:24" ht="15" customHeight="1">
      <c r="A599" s="708"/>
      <c r="B599" s="708"/>
      <c r="C599" s="710"/>
      <c r="D599" s="710"/>
      <c r="E599" s="710"/>
      <c r="F599" s="708"/>
      <c r="G599" s="708"/>
      <c r="H599" s="709"/>
      <c r="I599" s="709"/>
      <c r="J599" s="709"/>
      <c r="K599" s="709"/>
      <c r="L599" s="149">
        <f t="shared" si="45"/>
        <v>0</v>
      </c>
      <c r="M599" s="150">
        <f t="shared" si="46"/>
        <v>0</v>
      </c>
      <c r="N599" s="151">
        <f>+IF(OR($Q599=Parametres!$G$2,$Q599=Parametres!$G$3),I599,C599)</f>
        <v>0</v>
      </c>
      <c r="O599" s="151">
        <f>+IF(OR($Q599=Parametres!$G$2,$Q599=Parametres!$G$3),J599,D599)</f>
        <v>0</v>
      </c>
      <c r="P599" s="151">
        <f>+IF(OR($Q599=Parametres!$G$2,$Q599=Parametres!$G$3),K599,E599)</f>
        <v>0</v>
      </c>
      <c r="Q599" s="150">
        <f t="shared" si="47"/>
        <v>0</v>
      </c>
      <c r="R599" s="149">
        <f t="shared" si="48"/>
        <v>0</v>
      </c>
      <c r="S599" s="150">
        <f t="shared" si="49"/>
        <v>0</v>
      </c>
      <c r="T599" s="152" t="e">
        <f>+VLOOKUP($L599,Data_Validation!$A:$D,1,0)</f>
        <v>#N/A</v>
      </c>
      <c r="U599" s="152" t="e">
        <f>+VLOOKUP($L599,Data_Validation!$A:$D,3,0)</f>
        <v>#N/A</v>
      </c>
      <c r="V599" s="152" t="e">
        <f>+VLOOKUP($L599,Data_Validation!$A:$D,4,0)</f>
        <v>#N/A</v>
      </c>
      <c r="W599" s="152" t="e">
        <f>+VLOOKUP($L599,Data_Validation!$A:$E,5,0)</f>
        <v>#N/A</v>
      </c>
      <c r="X599" s="152" t="e">
        <f>+VLOOKUP($L599,Data_Validation!$A:$F,6,0)</f>
        <v>#N/A</v>
      </c>
    </row>
    <row r="600" spans="1:24" ht="15" customHeight="1">
      <c r="A600" s="708"/>
      <c r="B600" s="708"/>
      <c r="C600" s="710"/>
      <c r="D600" s="710"/>
      <c r="E600" s="710"/>
      <c r="F600" s="708"/>
      <c r="G600" s="708"/>
      <c r="H600" s="600"/>
      <c r="I600" s="153"/>
      <c r="J600" s="153"/>
      <c r="K600" s="153"/>
      <c r="L600" s="149">
        <f t="shared" si="45"/>
        <v>0</v>
      </c>
      <c r="M600" s="150">
        <f t="shared" si="46"/>
        <v>0</v>
      </c>
      <c r="N600" s="151">
        <f>+IF(OR($Q600=Parametres!$G$2,$Q600=Parametres!$G$3),I600,C600)</f>
        <v>0</v>
      </c>
      <c r="O600" s="151">
        <f>+IF(OR($Q600=Parametres!$G$2,$Q600=Parametres!$G$3),J600,D600)</f>
        <v>0</v>
      </c>
      <c r="P600" s="151">
        <f>+IF(OR($Q600=Parametres!$G$2,$Q600=Parametres!$G$3),K600,E600)</f>
        <v>0</v>
      </c>
      <c r="Q600" s="150">
        <f t="shared" si="47"/>
        <v>0</v>
      </c>
      <c r="R600" s="149">
        <f t="shared" si="48"/>
        <v>0</v>
      </c>
      <c r="S600" s="150">
        <f t="shared" si="49"/>
        <v>0</v>
      </c>
      <c r="T600" s="152" t="e">
        <f>+VLOOKUP($L600,Data_Validation!$A:$D,1,0)</f>
        <v>#N/A</v>
      </c>
      <c r="U600" s="152" t="e">
        <f>+VLOOKUP($L600,Data_Validation!$A:$D,3,0)</f>
        <v>#N/A</v>
      </c>
      <c r="V600" s="152" t="e">
        <f>+VLOOKUP($L600,Data_Validation!$A:$D,4,0)</f>
        <v>#N/A</v>
      </c>
      <c r="W600" s="152" t="e">
        <f>+VLOOKUP($L600,Data_Validation!$A:$E,5,0)</f>
        <v>#N/A</v>
      </c>
      <c r="X600" s="152" t="e">
        <f>+VLOOKUP($L600,Data_Validation!$A:$F,6,0)</f>
        <v>#N/A</v>
      </c>
    </row>
    <row r="601" spans="1:24" ht="15" customHeight="1">
      <c r="A601" s="708"/>
      <c r="B601" s="708"/>
      <c r="C601" s="710"/>
      <c r="D601" s="710"/>
      <c r="E601" s="710"/>
      <c r="F601" s="708"/>
      <c r="G601" s="708"/>
      <c r="H601" s="600"/>
      <c r="I601" s="153"/>
      <c r="J601" s="153"/>
      <c r="K601" s="153"/>
      <c r="L601" s="149">
        <f t="shared" si="45"/>
        <v>0</v>
      </c>
      <c r="M601" s="150">
        <f t="shared" si="46"/>
        <v>0</v>
      </c>
      <c r="N601" s="151">
        <f>+IF(OR($Q601=Parametres!$G$2,$Q601=Parametres!$G$3),I601,C601)</f>
        <v>0</v>
      </c>
      <c r="O601" s="497">
        <f>+IF(OR($Q601=Parametres!$G$2,$Q601=Parametres!$G$3),J601,D601)</f>
        <v>0</v>
      </c>
      <c r="P601" s="151">
        <f>+IF(OR($Q601=Parametres!$G$2,$Q601=Parametres!$G$3),K601,E601)</f>
        <v>0</v>
      </c>
      <c r="Q601" s="150">
        <f t="shared" si="47"/>
        <v>0</v>
      </c>
      <c r="R601" s="149">
        <f t="shared" si="48"/>
        <v>0</v>
      </c>
      <c r="S601" s="150">
        <f t="shared" si="49"/>
        <v>0</v>
      </c>
      <c r="T601" s="152" t="e">
        <f>+VLOOKUP($L601,Data_Validation!$A:$D,1,0)</f>
        <v>#N/A</v>
      </c>
      <c r="U601" s="152" t="e">
        <f>+VLOOKUP($L601,Data_Validation!$A:$D,3,0)</f>
        <v>#N/A</v>
      </c>
      <c r="V601" s="152" t="e">
        <f>+VLOOKUP($L601,Data_Validation!$A:$D,4,0)</f>
        <v>#N/A</v>
      </c>
      <c r="W601" s="152" t="e">
        <f>+VLOOKUP($L601,Data_Validation!$A:$E,5,0)</f>
        <v>#N/A</v>
      </c>
      <c r="X601" s="152" t="e">
        <f>+VLOOKUP($L601,Data_Validation!$A:$F,6,0)</f>
        <v>#N/A</v>
      </c>
    </row>
    <row r="602" spans="1:24" ht="15" customHeight="1">
      <c r="A602" s="708"/>
      <c r="B602" s="708"/>
      <c r="C602" s="710"/>
      <c r="D602" s="710"/>
      <c r="E602" s="710"/>
      <c r="F602" s="708"/>
      <c r="G602" s="708"/>
      <c r="H602" s="709"/>
      <c r="I602" s="709"/>
      <c r="J602" s="709"/>
      <c r="K602" s="709"/>
      <c r="L602" s="149">
        <f t="shared" si="45"/>
        <v>0</v>
      </c>
      <c r="M602" s="150">
        <f t="shared" si="46"/>
        <v>0</v>
      </c>
      <c r="N602" s="151">
        <f>+IF(OR($Q602=Parametres!$G$2,$Q602=Parametres!$G$3),I602,C602)</f>
        <v>0</v>
      </c>
      <c r="O602" s="497">
        <f>+IF(OR($Q602=Parametres!$G$2,$Q602=Parametres!$G$3),J602,D602)</f>
        <v>0</v>
      </c>
      <c r="P602" s="151">
        <f>+IF(OR($Q602=Parametres!$G$2,$Q602=Parametres!$G$3),K602,E602)</f>
        <v>0</v>
      </c>
      <c r="Q602" s="150">
        <f t="shared" si="47"/>
        <v>0</v>
      </c>
      <c r="R602" s="149">
        <f t="shared" si="48"/>
        <v>0</v>
      </c>
      <c r="S602" s="150">
        <f t="shared" si="49"/>
        <v>0</v>
      </c>
      <c r="T602" s="152" t="e">
        <f>+VLOOKUP($L602,Data_Validation!$A:$D,1,0)</f>
        <v>#N/A</v>
      </c>
      <c r="U602" s="152" t="e">
        <f>+VLOOKUP($L602,Data_Validation!$A:$D,3,0)</f>
        <v>#N/A</v>
      </c>
      <c r="V602" s="152" t="e">
        <f>+VLOOKUP($L602,Data_Validation!$A:$D,4,0)</f>
        <v>#N/A</v>
      </c>
      <c r="W602" s="152" t="e">
        <f>+VLOOKUP($L602,Data_Validation!$A:$E,5,0)</f>
        <v>#N/A</v>
      </c>
      <c r="X602" s="152" t="e">
        <f>+VLOOKUP($L602,Data_Validation!$A:$F,6,0)</f>
        <v>#N/A</v>
      </c>
    </row>
    <row r="603" spans="1:24" ht="15" customHeight="1">
      <c r="A603" s="708"/>
      <c r="B603" s="708"/>
      <c r="C603" s="710"/>
      <c r="D603" s="710"/>
      <c r="E603" s="710"/>
      <c r="F603" s="708"/>
      <c r="G603" s="708"/>
      <c r="H603" s="709"/>
      <c r="I603" s="709"/>
      <c r="J603" s="709"/>
      <c r="K603" s="709"/>
      <c r="L603" s="149">
        <f t="shared" si="45"/>
        <v>0</v>
      </c>
      <c r="M603" s="150">
        <f t="shared" si="46"/>
        <v>0</v>
      </c>
      <c r="N603" s="151">
        <f>+IF(OR($Q603=Parametres!$G$2,$Q603=Parametres!$G$3),I603,C603)</f>
        <v>0</v>
      </c>
      <c r="O603" s="497">
        <f>+IF(OR($Q603=Parametres!$G$2,$Q603=Parametres!$G$3),J603,D603)</f>
        <v>0</v>
      </c>
      <c r="P603" s="151">
        <f>+IF(OR($Q603=Parametres!$G$2,$Q603=Parametres!$G$3),K603,E603)</f>
        <v>0</v>
      </c>
      <c r="Q603" s="150">
        <f t="shared" si="47"/>
        <v>0</v>
      </c>
      <c r="R603" s="149">
        <f t="shared" si="48"/>
        <v>0</v>
      </c>
      <c r="S603" s="150">
        <f t="shared" si="49"/>
        <v>0</v>
      </c>
      <c r="T603" s="152" t="e">
        <f>+VLOOKUP($L603,Data_Validation!$A:$D,1,0)</f>
        <v>#N/A</v>
      </c>
      <c r="U603" s="152" t="e">
        <f>+VLOOKUP($L603,Data_Validation!$A:$D,3,0)</f>
        <v>#N/A</v>
      </c>
      <c r="V603" s="152" t="e">
        <f>+VLOOKUP($L603,Data_Validation!$A:$D,4,0)</f>
        <v>#N/A</v>
      </c>
      <c r="W603" s="152" t="e">
        <f>+VLOOKUP($L603,Data_Validation!$A:$E,5,0)</f>
        <v>#N/A</v>
      </c>
      <c r="X603" s="152" t="e">
        <f>+VLOOKUP($L603,Data_Validation!$A:$F,6,0)</f>
        <v>#N/A</v>
      </c>
    </row>
    <row r="604" spans="1:24" ht="15" customHeight="1">
      <c r="A604" s="708"/>
      <c r="B604" s="708"/>
      <c r="C604" s="710"/>
      <c r="D604" s="710"/>
      <c r="E604" s="710"/>
      <c r="F604" s="708"/>
      <c r="G604" s="708"/>
      <c r="H604" s="600"/>
      <c r="I604" s="601"/>
      <c r="J604" s="601"/>
      <c r="K604" s="601"/>
      <c r="L604" s="149">
        <f t="shared" si="45"/>
        <v>0</v>
      </c>
      <c r="M604" s="150">
        <f t="shared" si="46"/>
        <v>0</v>
      </c>
      <c r="N604" s="151">
        <f>+IF(OR($Q604=Parametres!$G$2,$Q604=Parametres!$G$3),I604,C604)</f>
        <v>0</v>
      </c>
      <c r="O604" s="151">
        <f>+IF(OR($Q604=Parametres!$G$2,$Q604=Parametres!$G$3),J604,D604)</f>
        <v>0</v>
      </c>
      <c r="P604" s="151">
        <f>+IF(OR($Q604=Parametres!$G$2,$Q604=Parametres!$G$3),K604,E604)</f>
        <v>0</v>
      </c>
      <c r="Q604" s="150">
        <f t="shared" si="47"/>
        <v>0</v>
      </c>
      <c r="R604" s="149">
        <f t="shared" si="48"/>
        <v>0</v>
      </c>
      <c r="S604" s="150">
        <f t="shared" si="49"/>
        <v>0</v>
      </c>
      <c r="T604" s="152" t="e">
        <f>+VLOOKUP($L604,Data_Validation!$A:$D,1,0)</f>
        <v>#N/A</v>
      </c>
      <c r="U604" s="152" t="e">
        <f>+VLOOKUP($L604,Data_Validation!$A:$D,3,0)</f>
        <v>#N/A</v>
      </c>
      <c r="V604" s="152" t="e">
        <f>+VLOOKUP($L604,Data_Validation!$A:$D,4,0)</f>
        <v>#N/A</v>
      </c>
      <c r="W604" s="152" t="e">
        <f>+VLOOKUP($L604,Data_Validation!$A:$E,5,0)</f>
        <v>#N/A</v>
      </c>
      <c r="X604" s="152" t="e">
        <f>+VLOOKUP($L604,Data_Validation!$A:$F,6,0)</f>
        <v>#N/A</v>
      </c>
    </row>
    <row r="605" spans="1:24" ht="15" customHeight="1">
      <c r="A605" s="708"/>
      <c r="B605" s="708"/>
      <c r="C605" s="710"/>
      <c r="D605" s="710"/>
      <c r="E605" s="710"/>
      <c r="F605" s="708"/>
      <c r="G605" s="708"/>
      <c r="H605" s="600"/>
      <c r="I605" s="601"/>
      <c r="J605" s="601"/>
      <c r="K605" s="601"/>
      <c r="L605" s="149">
        <f t="shared" si="45"/>
        <v>0</v>
      </c>
      <c r="M605" s="150">
        <f t="shared" si="46"/>
        <v>0</v>
      </c>
      <c r="N605" s="151">
        <f>+IF(OR($Q605=Parametres!$G$2,$Q605=Parametres!$G$3),I605,C605)</f>
        <v>0</v>
      </c>
      <c r="O605" s="151">
        <f>+IF(OR($Q605=Parametres!$G$2,$Q605=Parametres!$G$3),J605,D605)</f>
        <v>0</v>
      </c>
      <c r="P605" s="151">
        <f>+IF(OR($Q605=Parametres!$G$2,$Q605=Parametres!$G$3),K605,E605)</f>
        <v>0</v>
      </c>
      <c r="Q605" s="150">
        <f t="shared" si="47"/>
        <v>0</v>
      </c>
      <c r="R605" s="149">
        <f t="shared" si="48"/>
        <v>0</v>
      </c>
      <c r="S605" s="150">
        <f t="shared" si="49"/>
        <v>0</v>
      </c>
      <c r="T605" s="152" t="e">
        <f>+VLOOKUP($L605,Data_Validation!$A:$D,1,0)</f>
        <v>#N/A</v>
      </c>
      <c r="U605" s="152" t="e">
        <f>+VLOOKUP($L605,Data_Validation!$A:$D,3,0)</f>
        <v>#N/A</v>
      </c>
      <c r="V605" s="152" t="e">
        <f>+VLOOKUP($L605,Data_Validation!$A:$D,4,0)</f>
        <v>#N/A</v>
      </c>
      <c r="W605" s="152" t="e">
        <f>+VLOOKUP($L605,Data_Validation!$A:$E,5,0)</f>
        <v>#N/A</v>
      </c>
      <c r="X605" s="152" t="e">
        <f>+VLOOKUP($L605,Data_Validation!$A:$F,6,0)</f>
        <v>#N/A</v>
      </c>
    </row>
    <row r="606" spans="1:24" ht="15" customHeight="1">
      <c r="A606" s="708"/>
      <c r="B606" s="708"/>
      <c r="C606" s="710"/>
      <c r="D606" s="710"/>
      <c r="E606" s="710"/>
      <c r="F606" s="708"/>
      <c r="G606" s="708"/>
      <c r="H606" s="600"/>
      <c r="I606" s="153"/>
      <c r="J606" s="153"/>
      <c r="K606" s="153"/>
      <c r="L606" s="149">
        <f t="shared" si="45"/>
        <v>0</v>
      </c>
      <c r="M606" s="150">
        <f t="shared" si="46"/>
        <v>0</v>
      </c>
      <c r="N606" s="151">
        <f>+IF(OR($Q606=Parametres!$G$2,$Q606=Parametres!$G$3),I606,C606)</f>
        <v>0</v>
      </c>
      <c r="O606" s="151">
        <f>+IF(OR($Q606=Parametres!$G$2,$Q606=Parametres!$G$3),J606,D606)</f>
        <v>0</v>
      </c>
      <c r="P606" s="151">
        <f>+IF(OR($Q606=Parametres!$G$2,$Q606=Parametres!$G$3),K606,E606)</f>
        <v>0</v>
      </c>
      <c r="Q606" s="150">
        <f t="shared" si="47"/>
        <v>0</v>
      </c>
      <c r="R606" s="149">
        <f t="shared" si="48"/>
        <v>0</v>
      </c>
      <c r="S606" s="150">
        <f t="shared" si="49"/>
        <v>0</v>
      </c>
      <c r="T606" s="152" t="e">
        <f>+VLOOKUP($L606,Data_Validation!$A:$D,1,0)</f>
        <v>#N/A</v>
      </c>
      <c r="U606" s="152" t="e">
        <f>+VLOOKUP($L606,Data_Validation!$A:$D,3,0)</f>
        <v>#N/A</v>
      </c>
      <c r="V606" s="152" t="e">
        <f>+VLOOKUP($L606,Data_Validation!$A:$D,4,0)</f>
        <v>#N/A</v>
      </c>
      <c r="W606" s="152" t="e">
        <f>+VLOOKUP($L606,Data_Validation!$A:$E,5,0)</f>
        <v>#N/A</v>
      </c>
      <c r="X606" s="152" t="e">
        <f>+VLOOKUP($L606,Data_Validation!$A:$F,6,0)</f>
        <v>#N/A</v>
      </c>
    </row>
    <row r="607" spans="1:24" ht="15" customHeight="1">
      <c r="A607" s="708"/>
      <c r="B607" s="708"/>
      <c r="C607" s="710"/>
      <c r="D607" s="710"/>
      <c r="E607" s="710"/>
      <c r="F607" s="708"/>
      <c r="G607" s="708"/>
      <c r="H607" s="664"/>
      <c r="I607" s="663"/>
      <c r="J607" s="663"/>
      <c r="K607" s="663"/>
      <c r="L607" s="149">
        <f t="shared" si="45"/>
        <v>0</v>
      </c>
      <c r="M607" s="150">
        <f t="shared" si="46"/>
        <v>0</v>
      </c>
      <c r="N607" s="151">
        <f>+IF(OR($Q607=Parametres!$G$2,$Q607=Parametres!$G$3),I607,C607)</f>
        <v>0</v>
      </c>
      <c r="O607" s="151">
        <f>+IF(OR($Q607=Parametres!$G$2,$Q607=Parametres!$G$3),J607,D607)</f>
        <v>0</v>
      </c>
      <c r="P607" s="151">
        <f>+IF(OR($Q607=Parametres!$G$2,$Q607=Parametres!$G$3),K607,E607)</f>
        <v>0</v>
      </c>
      <c r="Q607" s="150">
        <f t="shared" si="47"/>
        <v>0</v>
      </c>
      <c r="R607" s="149">
        <f t="shared" si="48"/>
        <v>0</v>
      </c>
      <c r="S607" s="150">
        <f t="shared" si="49"/>
        <v>0</v>
      </c>
      <c r="T607" s="152" t="e">
        <f>+VLOOKUP($L607,Data_Validation!$A:$D,1,0)</f>
        <v>#N/A</v>
      </c>
      <c r="U607" s="152" t="e">
        <f>+VLOOKUP($L607,Data_Validation!$A:$D,3,0)</f>
        <v>#N/A</v>
      </c>
      <c r="V607" s="152" t="e">
        <f>+VLOOKUP($L607,Data_Validation!$A:$D,4,0)</f>
        <v>#N/A</v>
      </c>
      <c r="W607" s="152" t="e">
        <f>+VLOOKUP($L607,Data_Validation!$A:$E,5,0)</f>
        <v>#N/A</v>
      </c>
      <c r="X607" s="152" t="e">
        <f>+VLOOKUP($L607,Data_Validation!$A:$F,6,0)</f>
        <v>#N/A</v>
      </c>
    </row>
    <row r="608" spans="1:24" ht="15" customHeight="1">
      <c r="A608" s="708"/>
      <c r="B608" s="708"/>
      <c r="C608" s="710"/>
      <c r="D608" s="710"/>
      <c r="E608" s="710"/>
      <c r="F608" s="708"/>
      <c r="G608" s="708"/>
      <c r="H608" s="664"/>
      <c r="I608" s="663"/>
      <c r="J608" s="663"/>
      <c r="K608" s="663"/>
      <c r="L608" s="149">
        <f t="shared" si="45"/>
        <v>0</v>
      </c>
      <c r="M608" s="150">
        <f t="shared" si="46"/>
        <v>0</v>
      </c>
      <c r="N608" s="151">
        <f>+IF(OR($Q608=Parametres!$G$2,$Q608=Parametres!$G$3),I608,C608)</f>
        <v>0</v>
      </c>
      <c r="O608" s="497">
        <f>+IF(OR($Q608=Parametres!$G$2,$Q608=Parametres!$G$3),J608,D608)</f>
        <v>0</v>
      </c>
      <c r="P608" s="151">
        <f>+IF(OR($Q608=Parametres!$G$2,$Q608=Parametres!$G$3),K608,E608)</f>
        <v>0</v>
      </c>
      <c r="Q608" s="150">
        <f t="shared" si="47"/>
        <v>0</v>
      </c>
      <c r="R608" s="149">
        <f t="shared" si="48"/>
        <v>0</v>
      </c>
      <c r="S608" s="150">
        <f t="shared" si="49"/>
        <v>0</v>
      </c>
      <c r="T608" s="152" t="e">
        <f>+VLOOKUP($L608,Data_Validation!$A:$D,1,0)</f>
        <v>#N/A</v>
      </c>
      <c r="U608" s="152" t="e">
        <f>+VLOOKUP($L608,Data_Validation!$A:$D,3,0)</f>
        <v>#N/A</v>
      </c>
      <c r="V608" s="152" t="e">
        <f>+VLOOKUP($L608,Data_Validation!$A:$D,4,0)</f>
        <v>#N/A</v>
      </c>
      <c r="W608" s="152" t="e">
        <f>+VLOOKUP($L608,Data_Validation!$A:$E,5,0)</f>
        <v>#N/A</v>
      </c>
      <c r="X608" s="152" t="e">
        <f>+VLOOKUP($L608,Data_Validation!$A:$F,6,0)</f>
        <v>#N/A</v>
      </c>
    </row>
    <row r="609" spans="1:24" ht="15" customHeight="1">
      <c r="A609" s="708"/>
      <c r="B609" s="708"/>
      <c r="C609" s="710"/>
      <c r="D609" s="710"/>
      <c r="E609" s="710"/>
      <c r="F609" s="708"/>
      <c r="G609" s="708"/>
      <c r="H609" s="709"/>
      <c r="I609" s="709"/>
      <c r="J609" s="709"/>
      <c r="K609" s="709"/>
      <c r="L609" s="149">
        <f t="shared" si="45"/>
        <v>0</v>
      </c>
      <c r="M609" s="150">
        <f t="shared" si="46"/>
        <v>0</v>
      </c>
      <c r="N609" s="151">
        <f>+IF(OR($Q609=Parametres!$G$2,$Q609=Parametres!$G$3),I609,C609)</f>
        <v>0</v>
      </c>
      <c r="O609" s="497">
        <f>+IF(OR($Q609=Parametres!$G$2,$Q609=Parametres!$G$3),J609,D609)</f>
        <v>0</v>
      </c>
      <c r="P609" s="151">
        <f>+IF(OR($Q609=Parametres!$G$2,$Q609=Parametres!$G$3),K609,E609)</f>
        <v>0</v>
      </c>
      <c r="Q609" s="150">
        <f t="shared" si="47"/>
        <v>0</v>
      </c>
      <c r="R609" s="149">
        <f t="shared" si="48"/>
        <v>0</v>
      </c>
      <c r="S609" s="150">
        <f t="shared" si="49"/>
        <v>0</v>
      </c>
      <c r="T609" s="152" t="e">
        <f>+VLOOKUP($L609,Data_Validation!$A:$D,1,0)</f>
        <v>#N/A</v>
      </c>
      <c r="U609" s="152" t="e">
        <f>+VLOOKUP($L609,Data_Validation!$A:$D,3,0)</f>
        <v>#N/A</v>
      </c>
      <c r="V609" s="152" t="e">
        <f>+VLOOKUP($L609,Data_Validation!$A:$D,4,0)</f>
        <v>#N/A</v>
      </c>
      <c r="W609" s="152" t="e">
        <f>+VLOOKUP($L609,Data_Validation!$A:$E,5,0)</f>
        <v>#N/A</v>
      </c>
      <c r="X609" s="152" t="e">
        <f>+VLOOKUP($L609,Data_Validation!$A:$F,6,0)</f>
        <v>#N/A</v>
      </c>
    </row>
    <row r="610" spans="1:24" ht="15" customHeight="1">
      <c r="A610" s="662"/>
      <c r="B610" s="662"/>
      <c r="C610" s="663"/>
      <c r="D610" s="663"/>
      <c r="E610" s="663"/>
      <c r="F610" s="662"/>
      <c r="G610" s="662"/>
      <c r="H610" s="657"/>
      <c r="I610" s="656"/>
      <c r="J610" s="656"/>
      <c r="K610" s="656"/>
      <c r="L610" s="149">
        <f t="shared" si="45"/>
        <v>0</v>
      </c>
      <c r="M610" s="150">
        <f t="shared" si="46"/>
        <v>0</v>
      </c>
      <c r="N610" s="151">
        <f>+IF(OR($Q610=Parametres!$G$2,$Q610=Parametres!$G$3),I610,C610)</f>
        <v>0</v>
      </c>
      <c r="O610" s="151">
        <f>+IF(OR($Q610=Parametres!$G$2,$Q610=Parametres!$G$3),J610,D610)</f>
        <v>0</v>
      </c>
      <c r="P610" s="151">
        <f>+IF(OR($Q610=Parametres!$G$2,$Q610=Parametres!$G$3),K610,E610)</f>
        <v>0</v>
      </c>
      <c r="Q610" s="150">
        <f t="shared" si="47"/>
        <v>0</v>
      </c>
      <c r="R610" s="149">
        <f t="shared" si="48"/>
        <v>0</v>
      </c>
      <c r="S610" s="150">
        <f t="shared" si="49"/>
        <v>0</v>
      </c>
      <c r="T610" s="152" t="e">
        <f>+VLOOKUP($L610,Data_Validation!$A:$D,1,0)</f>
        <v>#N/A</v>
      </c>
      <c r="U610" s="152" t="e">
        <f>+VLOOKUP($L610,Data_Validation!$A:$D,3,0)</f>
        <v>#N/A</v>
      </c>
      <c r="V610" s="152" t="e">
        <f>+VLOOKUP($L610,Data_Validation!$A:$D,4,0)</f>
        <v>#N/A</v>
      </c>
      <c r="W610" s="152" t="e">
        <f>+VLOOKUP($L610,Data_Validation!$A:$E,5,0)</f>
        <v>#N/A</v>
      </c>
      <c r="X610" s="152" t="e">
        <f>+VLOOKUP($L610,Data_Validation!$A:$F,6,0)</f>
        <v>#N/A</v>
      </c>
    </row>
    <row r="611" spans="1:24" ht="15" customHeight="1">
      <c r="A611" s="662"/>
      <c r="B611" s="662"/>
      <c r="C611" s="663"/>
      <c r="D611" s="663"/>
      <c r="E611" s="663"/>
      <c r="F611" s="662"/>
      <c r="G611" s="662"/>
      <c r="H611" s="657"/>
      <c r="I611" s="656"/>
      <c r="J611" s="656"/>
      <c r="K611" s="656"/>
      <c r="L611" s="149">
        <f t="shared" si="45"/>
        <v>0</v>
      </c>
      <c r="M611" s="150">
        <f t="shared" si="46"/>
        <v>0</v>
      </c>
      <c r="N611" s="151">
        <f>+IF(OR($Q611=Parametres!$G$2,$Q611=Parametres!$G$3),I611,C611)</f>
        <v>0</v>
      </c>
      <c r="O611" s="151">
        <f>+IF(OR($Q611=Parametres!$G$2,$Q611=Parametres!$G$3),J611,D611)</f>
        <v>0</v>
      </c>
      <c r="P611" s="151">
        <f>+IF(OR($Q611=Parametres!$G$2,$Q611=Parametres!$G$3),K611,E611)</f>
        <v>0</v>
      </c>
      <c r="Q611" s="150">
        <f t="shared" si="47"/>
        <v>0</v>
      </c>
      <c r="R611" s="149">
        <f t="shared" si="48"/>
        <v>0</v>
      </c>
      <c r="S611" s="150">
        <f t="shared" si="49"/>
        <v>0</v>
      </c>
      <c r="T611" s="152" t="e">
        <f>+VLOOKUP($L611,Data_Validation!$A:$D,1,0)</f>
        <v>#N/A</v>
      </c>
      <c r="U611" s="152" t="e">
        <f>+VLOOKUP($L611,Data_Validation!$A:$D,3,0)</f>
        <v>#N/A</v>
      </c>
      <c r="V611" s="152" t="e">
        <f>+VLOOKUP($L611,Data_Validation!$A:$D,4,0)</f>
        <v>#N/A</v>
      </c>
      <c r="W611" s="152" t="e">
        <f>+VLOOKUP($L611,Data_Validation!$A:$E,5,0)</f>
        <v>#N/A</v>
      </c>
      <c r="X611" s="152" t="e">
        <f>+VLOOKUP($L611,Data_Validation!$A:$F,6,0)</f>
        <v>#N/A</v>
      </c>
    </row>
    <row r="612" spans="1:24" ht="15" customHeight="1">
      <c r="A612" s="662"/>
      <c r="B612" s="662"/>
      <c r="C612" s="663"/>
      <c r="D612" s="663"/>
      <c r="E612" s="663"/>
      <c r="F612" s="662"/>
      <c r="G612" s="662"/>
      <c r="H612" s="657"/>
      <c r="I612" s="656"/>
      <c r="J612" s="656"/>
      <c r="K612" s="656"/>
      <c r="L612" s="149">
        <f t="shared" si="45"/>
        <v>0</v>
      </c>
      <c r="M612" s="150">
        <f t="shared" si="46"/>
        <v>0</v>
      </c>
      <c r="N612" s="151">
        <f>+IF(OR($Q612=Parametres!$G$2,$Q612=Parametres!$G$3),I612,C612)</f>
        <v>0</v>
      </c>
      <c r="O612" s="151">
        <f>+IF(OR($Q612=Parametres!$G$2,$Q612=Parametres!$G$3),J612,D612)</f>
        <v>0</v>
      </c>
      <c r="P612" s="151">
        <f>+IF(OR($Q612=Parametres!$G$2,$Q612=Parametres!$G$3),K612,E612)</f>
        <v>0</v>
      </c>
      <c r="Q612" s="150">
        <f t="shared" si="47"/>
        <v>0</v>
      </c>
      <c r="R612" s="149">
        <f t="shared" si="48"/>
        <v>0</v>
      </c>
      <c r="S612" s="150">
        <f t="shared" si="49"/>
        <v>0</v>
      </c>
      <c r="T612" s="152" t="e">
        <f>+VLOOKUP($L612,Data_Validation!$A:$D,1,0)</f>
        <v>#N/A</v>
      </c>
      <c r="U612" s="152" t="e">
        <f>+VLOOKUP($L612,Data_Validation!$A:$D,3,0)</f>
        <v>#N/A</v>
      </c>
      <c r="V612" s="152" t="e">
        <f>+VLOOKUP($L612,Data_Validation!$A:$D,4,0)</f>
        <v>#N/A</v>
      </c>
      <c r="W612" s="152" t="e">
        <f>+VLOOKUP($L612,Data_Validation!$A:$E,5,0)</f>
        <v>#N/A</v>
      </c>
      <c r="X612" s="152" t="e">
        <f>+VLOOKUP($L612,Data_Validation!$A:$F,6,0)</f>
        <v>#N/A</v>
      </c>
    </row>
    <row r="613" spans="1:24" ht="15" customHeight="1">
      <c r="A613" s="662"/>
      <c r="B613" s="662"/>
      <c r="C613" s="663"/>
      <c r="D613" s="663"/>
      <c r="E613" s="663"/>
      <c r="F613" s="662"/>
      <c r="G613" s="662"/>
      <c r="H613" s="657"/>
      <c r="I613" s="656"/>
      <c r="J613" s="656"/>
      <c r="K613" s="656"/>
      <c r="L613" s="149">
        <f t="shared" si="45"/>
        <v>0</v>
      </c>
      <c r="M613" s="150">
        <f t="shared" si="46"/>
        <v>0</v>
      </c>
      <c r="N613" s="151">
        <f>+IF(OR($Q613=Parametres!$G$2,$Q613=Parametres!$G$3),I613,C613)</f>
        <v>0</v>
      </c>
      <c r="O613" s="151">
        <f>+IF(OR($Q613=Parametres!$G$2,$Q613=Parametres!$G$3),J613,D613)</f>
        <v>0</v>
      </c>
      <c r="P613" s="151">
        <f>+IF(OR($Q613=Parametres!$G$2,$Q613=Parametres!$G$3),K613,E613)</f>
        <v>0</v>
      </c>
      <c r="Q613" s="150">
        <f t="shared" si="47"/>
        <v>0</v>
      </c>
      <c r="R613" s="149">
        <f t="shared" si="48"/>
        <v>0</v>
      </c>
      <c r="S613" s="150">
        <f t="shared" si="49"/>
        <v>0</v>
      </c>
      <c r="T613" s="152" t="e">
        <f>+VLOOKUP($L613,Data_Validation!$A:$D,1,0)</f>
        <v>#N/A</v>
      </c>
      <c r="U613" s="152" t="e">
        <f>+VLOOKUP($L613,Data_Validation!$A:$D,3,0)</f>
        <v>#N/A</v>
      </c>
      <c r="V613" s="152" t="e">
        <f>+VLOOKUP($L613,Data_Validation!$A:$D,4,0)</f>
        <v>#N/A</v>
      </c>
      <c r="W613" s="152" t="e">
        <f>+VLOOKUP($L613,Data_Validation!$A:$E,5,0)</f>
        <v>#N/A</v>
      </c>
      <c r="X613" s="152" t="e">
        <f>+VLOOKUP($L613,Data_Validation!$A:$F,6,0)</f>
        <v>#N/A</v>
      </c>
    </row>
    <row r="614" spans="1:24" ht="15" customHeight="1">
      <c r="A614" s="662"/>
      <c r="B614" s="662"/>
      <c r="C614" s="663"/>
      <c r="D614" s="663"/>
      <c r="E614" s="663"/>
      <c r="F614" s="662"/>
      <c r="G614" s="662"/>
      <c r="H614" s="657"/>
      <c r="I614" s="656"/>
      <c r="J614" s="656"/>
      <c r="K614" s="656"/>
      <c r="L614" s="149">
        <f t="shared" si="45"/>
        <v>0</v>
      </c>
      <c r="M614" s="150">
        <f t="shared" si="46"/>
        <v>0</v>
      </c>
      <c r="N614" s="151">
        <f>+IF(OR($Q614=Parametres!$G$2,$Q614=Parametres!$G$3),I614,C614)</f>
        <v>0</v>
      </c>
      <c r="O614" s="151">
        <f>+IF(OR($Q614=Parametres!$G$2,$Q614=Parametres!$G$3),J614,D614)</f>
        <v>0</v>
      </c>
      <c r="P614" s="151">
        <f>+IF(OR($Q614=Parametres!$G$2,$Q614=Parametres!$G$3),K614,E614)</f>
        <v>0</v>
      </c>
      <c r="Q614" s="150">
        <f t="shared" si="47"/>
        <v>0</v>
      </c>
      <c r="R614" s="149">
        <f t="shared" si="48"/>
        <v>0</v>
      </c>
      <c r="S614" s="150">
        <f t="shared" si="49"/>
        <v>0</v>
      </c>
      <c r="T614" s="152" t="e">
        <f>+VLOOKUP($L614,Data_Validation!$A:$D,1,0)</f>
        <v>#N/A</v>
      </c>
      <c r="U614" s="152" t="e">
        <f>+VLOOKUP($L614,Data_Validation!$A:$D,3,0)</f>
        <v>#N/A</v>
      </c>
      <c r="V614" s="152" t="e">
        <f>+VLOOKUP($L614,Data_Validation!$A:$D,4,0)</f>
        <v>#N/A</v>
      </c>
      <c r="W614" s="152" t="e">
        <f>+VLOOKUP($L614,Data_Validation!$A:$E,5,0)</f>
        <v>#N/A</v>
      </c>
      <c r="X614" s="152" t="e">
        <f>+VLOOKUP($L614,Data_Validation!$A:$F,6,0)</f>
        <v>#N/A</v>
      </c>
    </row>
    <row r="615" spans="1:24" ht="15" customHeight="1">
      <c r="A615" s="662"/>
      <c r="B615" s="662"/>
      <c r="C615" s="663"/>
      <c r="D615" s="663"/>
      <c r="E615" s="663"/>
      <c r="F615" s="662"/>
      <c r="G615" s="662"/>
      <c r="H615" s="657"/>
      <c r="I615" s="656"/>
      <c r="J615" s="656"/>
      <c r="K615" s="656"/>
      <c r="L615" s="149">
        <f t="shared" si="45"/>
        <v>0</v>
      </c>
      <c r="M615" s="150">
        <f t="shared" si="46"/>
        <v>0</v>
      </c>
      <c r="N615" s="151">
        <f>+IF(OR($Q615=Parametres!$G$2,$Q615=Parametres!$G$3),I615,C615)</f>
        <v>0</v>
      </c>
      <c r="O615" s="151">
        <f>+IF(OR($Q615=Parametres!$G$2,$Q615=Parametres!$G$3),J615,D615)</f>
        <v>0</v>
      </c>
      <c r="P615" s="151">
        <f>+IF(OR($Q615=Parametres!$G$2,$Q615=Parametres!$G$3),K615,E615)</f>
        <v>0</v>
      </c>
      <c r="Q615" s="150">
        <f t="shared" si="47"/>
        <v>0</v>
      </c>
      <c r="R615" s="149">
        <f t="shared" si="48"/>
        <v>0</v>
      </c>
      <c r="S615" s="150">
        <f t="shared" si="49"/>
        <v>0</v>
      </c>
      <c r="T615" s="152" t="e">
        <f>+VLOOKUP($L615,Data_Validation!$A:$D,1,0)</f>
        <v>#N/A</v>
      </c>
      <c r="U615" s="152" t="e">
        <f>+VLOOKUP($L615,Data_Validation!$A:$D,3,0)</f>
        <v>#N/A</v>
      </c>
      <c r="V615" s="152" t="e">
        <f>+VLOOKUP($L615,Data_Validation!$A:$D,4,0)</f>
        <v>#N/A</v>
      </c>
      <c r="W615" s="152" t="e">
        <f>+VLOOKUP($L615,Data_Validation!$A:$E,5,0)</f>
        <v>#N/A</v>
      </c>
      <c r="X615" s="152" t="e">
        <f>+VLOOKUP($L615,Data_Validation!$A:$F,6,0)</f>
        <v>#N/A</v>
      </c>
    </row>
    <row r="616" spans="1:24" ht="15" customHeight="1">
      <c r="A616" s="662"/>
      <c r="B616" s="662"/>
      <c r="C616" s="663"/>
      <c r="D616" s="663"/>
      <c r="E616" s="663"/>
      <c r="F616" s="662"/>
      <c r="G616" s="662"/>
      <c r="H616" s="657"/>
      <c r="I616" s="656"/>
      <c r="J616" s="656"/>
      <c r="K616" s="656"/>
      <c r="L616" s="149">
        <f t="shared" si="45"/>
        <v>0</v>
      </c>
      <c r="M616" s="150">
        <f t="shared" si="46"/>
        <v>0</v>
      </c>
      <c r="N616" s="151">
        <f>+IF(OR($Q616=Parametres!$G$2,$Q616=Parametres!$G$3),I616,C616)</f>
        <v>0</v>
      </c>
      <c r="O616" s="151">
        <f>+IF(OR($Q616=Parametres!$G$2,$Q616=Parametres!$G$3),J616,D616)</f>
        <v>0</v>
      </c>
      <c r="P616" s="151">
        <f>+IF(OR($Q616=Parametres!$G$2,$Q616=Parametres!$G$3),K616,E616)</f>
        <v>0</v>
      </c>
      <c r="Q616" s="150">
        <f t="shared" si="47"/>
        <v>0</v>
      </c>
      <c r="R616" s="149">
        <f t="shared" si="48"/>
        <v>0</v>
      </c>
      <c r="S616" s="150">
        <f t="shared" si="49"/>
        <v>0</v>
      </c>
      <c r="T616" s="152" t="e">
        <f>+VLOOKUP($L616,Data_Validation!$A:$D,1,0)</f>
        <v>#N/A</v>
      </c>
      <c r="U616" s="152" t="e">
        <f>+VLOOKUP($L616,Data_Validation!$A:$D,3,0)</f>
        <v>#N/A</v>
      </c>
      <c r="V616" s="152" t="e">
        <f>+VLOOKUP($L616,Data_Validation!$A:$D,4,0)</f>
        <v>#N/A</v>
      </c>
      <c r="W616" s="152" t="e">
        <f>+VLOOKUP($L616,Data_Validation!$A:$E,5,0)</f>
        <v>#N/A</v>
      </c>
      <c r="X616" s="152" t="e">
        <f>+VLOOKUP($L616,Data_Validation!$A:$F,6,0)</f>
        <v>#N/A</v>
      </c>
    </row>
    <row r="617" spans="1:24" ht="15" customHeight="1">
      <c r="A617" s="662"/>
      <c r="B617" s="662"/>
      <c r="C617" s="663"/>
      <c r="D617" s="663"/>
      <c r="E617" s="663"/>
      <c r="F617" s="662"/>
      <c r="G617" s="662"/>
      <c r="H617" s="657"/>
      <c r="I617" s="656"/>
      <c r="J617" s="656"/>
      <c r="K617" s="656"/>
      <c r="L617" s="149">
        <f t="shared" si="45"/>
        <v>0</v>
      </c>
      <c r="M617" s="150">
        <f t="shared" si="46"/>
        <v>0</v>
      </c>
      <c r="N617" s="151">
        <f>+IF(OR($Q617=Parametres!$G$2,$Q617=Parametres!$G$3),I617,C617)</f>
        <v>0</v>
      </c>
      <c r="O617" s="151">
        <f>+IF(OR($Q617=Parametres!$G$2,$Q617=Parametres!$G$3),J617,D617)</f>
        <v>0</v>
      </c>
      <c r="P617" s="151">
        <f>+IF(OR($Q617=Parametres!$G$2,$Q617=Parametres!$G$3),K617,E617)</f>
        <v>0</v>
      </c>
      <c r="Q617" s="150">
        <f t="shared" si="47"/>
        <v>0</v>
      </c>
      <c r="R617" s="149">
        <f t="shared" si="48"/>
        <v>0</v>
      </c>
      <c r="S617" s="150">
        <f t="shared" si="49"/>
        <v>0</v>
      </c>
      <c r="T617" s="152" t="e">
        <f>+VLOOKUP($L617,Data_Validation!$A:$D,1,0)</f>
        <v>#N/A</v>
      </c>
      <c r="U617" s="152" t="e">
        <f>+VLOOKUP($L617,Data_Validation!$A:$D,3,0)</f>
        <v>#N/A</v>
      </c>
      <c r="V617" s="152" t="e">
        <f>+VLOOKUP($L617,Data_Validation!$A:$D,4,0)</f>
        <v>#N/A</v>
      </c>
      <c r="W617" s="152" t="e">
        <f>+VLOOKUP($L617,Data_Validation!$A:$E,5,0)</f>
        <v>#N/A</v>
      </c>
      <c r="X617" s="152" t="e">
        <f>+VLOOKUP($L617,Data_Validation!$A:$F,6,0)</f>
        <v>#N/A</v>
      </c>
    </row>
    <row r="618" spans="1:24" ht="15" customHeight="1">
      <c r="A618" s="662"/>
      <c r="B618" s="662"/>
      <c r="C618" s="663"/>
      <c r="D618" s="663"/>
      <c r="E618" s="663"/>
      <c r="F618" s="662"/>
      <c r="G618" s="662"/>
      <c r="H618" s="657"/>
      <c r="I618" s="656"/>
      <c r="J618" s="656"/>
      <c r="K618" s="656"/>
      <c r="L618" s="149">
        <f t="shared" si="45"/>
        <v>0</v>
      </c>
      <c r="M618" s="150">
        <f t="shared" si="46"/>
        <v>0</v>
      </c>
      <c r="N618" s="151">
        <f>+IF(OR($Q618=Parametres!$G$2,$Q618=Parametres!$G$3),I618,C618)</f>
        <v>0</v>
      </c>
      <c r="O618" s="151">
        <f>+IF(OR($Q618=Parametres!$G$2,$Q618=Parametres!$G$3),J618,D618)</f>
        <v>0</v>
      </c>
      <c r="P618" s="151">
        <f>+IF(OR($Q618=Parametres!$G$2,$Q618=Parametres!$G$3),K618,E618)</f>
        <v>0</v>
      </c>
      <c r="Q618" s="150">
        <f t="shared" si="47"/>
        <v>0</v>
      </c>
      <c r="R618" s="149">
        <f t="shared" si="48"/>
        <v>0</v>
      </c>
      <c r="S618" s="150">
        <f t="shared" si="49"/>
        <v>0</v>
      </c>
      <c r="T618" s="152" t="e">
        <f>+VLOOKUP($L618,Data_Validation!$A:$D,1,0)</f>
        <v>#N/A</v>
      </c>
      <c r="U618" s="152" t="e">
        <f>+VLOOKUP($L618,Data_Validation!$A:$D,3,0)</f>
        <v>#N/A</v>
      </c>
      <c r="V618" s="152" t="e">
        <f>+VLOOKUP($L618,Data_Validation!$A:$D,4,0)</f>
        <v>#N/A</v>
      </c>
      <c r="W618" s="152" t="e">
        <f>+VLOOKUP($L618,Data_Validation!$A:$E,5,0)</f>
        <v>#N/A</v>
      </c>
      <c r="X618" s="152" t="e">
        <f>+VLOOKUP($L618,Data_Validation!$A:$F,6,0)</f>
        <v>#N/A</v>
      </c>
    </row>
    <row r="619" spans="1:24" ht="15" customHeight="1">
      <c r="A619" s="662"/>
      <c r="B619" s="662"/>
      <c r="C619" s="663"/>
      <c r="D619" s="663"/>
      <c r="E619" s="663"/>
      <c r="F619" s="662"/>
      <c r="G619" s="662"/>
      <c r="H619" s="657"/>
      <c r="I619" s="656"/>
      <c r="J619" s="656"/>
      <c r="K619" s="656"/>
      <c r="L619" s="149">
        <f t="shared" si="45"/>
        <v>0</v>
      </c>
      <c r="M619" s="150">
        <f t="shared" si="46"/>
        <v>0</v>
      </c>
      <c r="N619" s="151">
        <f>+IF(OR($Q619=Parametres!$G$2,$Q619=Parametres!$G$3),I619,C619)</f>
        <v>0</v>
      </c>
      <c r="O619" s="151">
        <f>+IF(OR($Q619=Parametres!$G$2,$Q619=Parametres!$G$3),J619,D619)</f>
        <v>0</v>
      </c>
      <c r="P619" s="151">
        <f>+IF(OR($Q619=Parametres!$G$2,$Q619=Parametres!$G$3),K619,E619)</f>
        <v>0</v>
      </c>
      <c r="Q619" s="150">
        <f t="shared" si="47"/>
        <v>0</v>
      </c>
      <c r="R619" s="149">
        <f t="shared" si="48"/>
        <v>0</v>
      </c>
      <c r="S619" s="150">
        <f t="shared" si="49"/>
        <v>0</v>
      </c>
      <c r="T619" s="152" t="e">
        <f>+VLOOKUP($L619,Data_Validation!$A:$D,1,0)</f>
        <v>#N/A</v>
      </c>
      <c r="U619" s="152" t="e">
        <f>+VLOOKUP($L619,Data_Validation!$A:$D,3,0)</f>
        <v>#N/A</v>
      </c>
      <c r="V619" s="152" t="e">
        <f>+VLOOKUP($L619,Data_Validation!$A:$D,4,0)</f>
        <v>#N/A</v>
      </c>
      <c r="W619" s="152" t="e">
        <f>+VLOOKUP($L619,Data_Validation!$A:$E,5,0)</f>
        <v>#N/A</v>
      </c>
      <c r="X619" s="152" t="e">
        <f>+VLOOKUP($L619,Data_Validation!$A:$F,6,0)</f>
        <v>#N/A</v>
      </c>
    </row>
    <row r="620" spans="1:24" ht="15" customHeight="1">
      <c r="A620" s="662"/>
      <c r="B620" s="662"/>
      <c r="C620" s="663"/>
      <c r="D620" s="663"/>
      <c r="E620" s="663"/>
      <c r="F620" s="662"/>
      <c r="G620" s="662"/>
      <c r="H620" s="657"/>
      <c r="I620" s="656"/>
      <c r="J620" s="656"/>
      <c r="K620" s="656"/>
      <c r="L620" s="149">
        <f t="shared" si="45"/>
        <v>0</v>
      </c>
      <c r="M620" s="150">
        <f t="shared" si="46"/>
        <v>0</v>
      </c>
      <c r="N620" s="151">
        <f>+IF(OR($Q620=Parametres!$G$2,$Q620=Parametres!$G$3),I620,C620)</f>
        <v>0</v>
      </c>
      <c r="O620" s="151">
        <f>+IF(OR($Q620=Parametres!$G$2,$Q620=Parametres!$G$3),J620,D620)</f>
        <v>0</v>
      </c>
      <c r="P620" s="151">
        <f>+IF(OR($Q620=Parametres!$G$2,$Q620=Parametres!$G$3),K620,E620)</f>
        <v>0</v>
      </c>
      <c r="Q620" s="150">
        <f t="shared" si="47"/>
        <v>0</v>
      </c>
      <c r="R620" s="149">
        <f t="shared" si="48"/>
        <v>0</v>
      </c>
      <c r="S620" s="150">
        <f t="shared" si="49"/>
        <v>0</v>
      </c>
      <c r="T620" s="152" t="e">
        <f>+VLOOKUP($L620,Data_Validation!$A:$D,1,0)</f>
        <v>#N/A</v>
      </c>
      <c r="U620" s="152" t="e">
        <f>+VLOOKUP($L620,Data_Validation!$A:$D,3,0)</f>
        <v>#N/A</v>
      </c>
      <c r="V620" s="152" t="e">
        <f>+VLOOKUP($L620,Data_Validation!$A:$D,4,0)</f>
        <v>#N/A</v>
      </c>
      <c r="W620" s="152" t="e">
        <f>+VLOOKUP($L620,Data_Validation!$A:$E,5,0)</f>
        <v>#N/A</v>
      </c>
      <c r="X620" s="152" t="e">
        <f>+VLOOKUP($L620,Data_Validation!$A:$F,6,0)</f>
        <v>#N/A</v>
      </c>
    </row>
    <row r="621" spans="1:24" ht="15" customHeight="1">
      <c r="A621" s="662"/>
      <c r="B621" s="662"/>
      <c r="C621" s="663"/>
      <c r="D621" s="663"/>
      <c r="E621" s="663"/>
      <c r="F621" s="662"/>
      <c r="G621" s="662"/>
      <c r="H621" s="657"/>
      <c r="I621" s="656"/>
      <c r="J621" s="656"/>
      <c r="K621" s="656"/>
      <c r="L621" s="149">
        <f t="shared" si="45"/>
        <v>0</v>
      </c>
      <c r="M621" s="150">
        <f t="shared" si="46"/>
        <v>0</v>
      </c>
      <c r="N621" s="151">
        <f>+IF(OR($Q621=Parametres!$G$2,$Q621=Parametres!$G$3),I621,C621)</f>
        <v>0</v>
      </c>
      <c r="O621" s="151">
        <f>+IF(OR($Q621=Parametres!$G$2,$Q621=Parametres!$G$3),J621,D621)</f>
        <v>0</v>
      </c>
      <c r="P621" s="151">
        <f>+IF(OR($Q621=Parametres!$G$2,$Q621=Parametres!$G$3),K621,E621)</f>
        <v>0</v>
      </c>
      <c r="Q621" s="150">
        <f t="shared" si="47"/>
        <v>0</v>
      </c>
      <c r="R621" s="149">
        <f t="shared" si="48"/>
        <v>0</v>
      </c>
      <c r="S621" s="150">
        <f t="shared" si="49"/>
        <v>0</v>
      </c>
      <c r="T621" s="152" t="e">
        <f>+VLOOKUP($L621,Data_Validation!$A:$D,1,0)</f>
        <v>#N/A</v>
      </c>
      <c r="U621" s="152" t="e">
        <f>+VLOOKUP($L621,Data_Validation!$A:$D,3,0)</f>
        <v>#N/A</v>
      </c>
      <c r="V621" s="152" t="e">
        <f>+VLOOKUP($L621,Data_Validation!$A:$D,4,0)</f>
        <v>#N/A</v>
      </c>
      <c r="W621" s="152" t="e">
        <f>+VLOOKUP($L621,Data_Validation!$A:$E,5,0)</f>
        <v>#N/A</v>
      </c>
      <c r="X621" s="152" t="e">
        <f>+VLOOKUP($L621,Data_Validation!$A:$F,6,0)</f>
        <v>#N/A</v>
      </c>
    </row>
    <row r="622" spans="1:24" ht="15" customHeight="1">
      <c r="A622" s="662"/>
      <c r="B622" s="662"/>
      <c r="C622" s="663"/>
      <c r="D622" s="663"/>
      <c r="E622" s="663"/>
      <c r="F622" s="662"/>
      <c r="G622" s="662"/>
      <c r="H622" s="657"/>
      <c r="I622" s="656"/>
      <c r="J622" s="656"/>
      <c r="K622" s="656"/>
      <c r="L622" s="149">
        <f t="shared" si="45"/>
        <v>0</v>
      </c>
      <c r="M622" s="150">
        <f t="shared" si="46"/>
        <v>0</v>
      </c>
      <c r="N622" s="151">
        <f>+IF(OR($Q622=Parametres!$G$2,$Q622=Parametres!$G$3),I622,C622)</f>
        <v>0</v>
      </c>
      <c r="O622" s="151">
        <f>+IF(OR($Q622=Parametres!$G$2,$Q622=Parametres!$G$3),J622,D622)</f>
        <v>0</v>
      </c>
      <c r="P622" s="151">
        <f>+IF(OR($Q622=Parametres!$G$2,$Q622=Parametres!$G$3),K622,E622)</f>
        <v>0</v>
      </c>
      <c r="Q622" s="150">
        <f t="shared" si="47"/>
        <v>0</v>
      </c>
      <c r="R622" s="149">
        <f t="shared" si="48"/>
        <v>0</v>
      </c>
      <c r="S622" s="150">
        <f t="shared" si="49"/>
        <v>0</v>
      </c>
      <c r="T622" s="152" t="e">
        <f>+VLOOKUP($L622,Data_Validation!$A:$D,1,0)</f>
        <v>#N/A</v>
      </c>
      <c r="U622" s="152" t="e">
        <f>+VLOOKUP($L622,Data_Validation!$A:$D,3,0)</f>
        <v>#N/A</v>
      </c>
      <c r="V622" s="152" t="e">
        <f>+VLOOKUP($L622,Data_Validation!$A:$D,4,0)</f>
        <v>#N/A</v>
      </c>
      <c r="W622" s="152" t="e">
        <f>+VLOOKUP($L622,Data_Validation!$A:$E,5,0)</f>
        <v>#N/A</v>
      </c>
      <c r="X622" s="152" t="e">
        <f>+VLOOKUP($L622,Data_Validation!$A:$F,6,0)</f>
        <v>#N/A</v>
      </c>
    </row>
    <row r="623" spans="1:24" ht="15" customHeight="1">
      <c r="A623" s="662"/>
      <c r="B623" s="662"/>
      <c r="C623" s="663"/>
      <c r="D623" s="663"/>
      <c r="E623" s="663"/>
      <c r="F623" s="662"/>
      <c r="G623" s="662"/>
      <c r="H623" s="657"/>
      <c r="I623" s="656"/>
      <c r="J623" s="656"/>
      <c r="K623" s="656"/>
      <c r="L623" s="149">
        <f t="shared" si="45"/>
        <v>0</v>
      </c>
      <c r="M623" s="150">
        <f t="shared" si="46"/>
        <v>0</v>
      </c>
      <c r="N623" s="151">
        <f>+IF(OR($Q623=Parametres!$G$2,$Q623=Parametres!$G$3),I623,C623)</f>
        <v>0</v>
      </c>
      <c r="O623" s="151">
        <f>+IF(OR($Q623=Parametres!$G$2,$Q623=Parametres!$G$3),J623,D623)</f>
        <v>0</v>
      </c>
      <c r="P623" s="151">
        <f>+IF(OR($Q623=Parametres!$G$2,$Q623=Parametres!$G$3),K623,E623)</f>
        <v>0</v>
      </c>
      <c r="Q623" s="150">
        <f t="shared" si="47"/>
        <v>0</v>
      </c>
      <c r="R623" s="149">
        <f t="shared" si="48"/>
        <v>0</v>
      </c>
      <c r="S623" s="150">
        <f t="shared" si="49"/>
        <v>0</v>
      </c>
      <c r="T623" s="152" t="e">
        <f>+VLOOKUP($L623,Data_Validation!$A:$D,1,0)</f>
        <v>#N/A</v>
      </c>
      <c r="U623" s="152" t="e">
        <f>+VLOOKUP($L623,Data_Validation!$A:$D,3,0)</f>
        <v>#N/A</v>
      </c>
      <c r="V623" s="152" t="e">
        <f>+VLOOKUP($L623,Data_Validation!$A:$D,4,0)</f>
        <v>#N/A</v>
      </c>
      <c r="W623" s="152" t="e">
        <f>+VLOOKUP($L623,Data_Validation!$A:$E,5,0)</f>
        <v>#N/A</v>
      </c>
      <c r="X623" s="152" t="e">
        <f>+VLOOKUP($L623,Data_Validation!$A:$F,6,0)</f>
        <v>#N/A</v>
      </c>
    </row>
    <row r="624" spans="1:24" ht="15" customHeight="1">
      <c r="A624" s="662"/>
      <c r="B624" s="662"/>
      <c r="C624" s="663"/>
      <c r="D624" s="663"/>
      <c r="E624" s="663"/>
      <c r="F624" s="662"/>
      <c r="G624" s="662"/>
      <c r="H624" s="657"/>
      <c r="I624" s="656"/>
      <c r="J624" s="656"/>
      <c r="K624" s="656"/>
      <c r="L624" s="149">
        <f t="shared" si="45"/>
        <v>0</v>
      </c>
      <c r="M624" s="150">
        <f t="shared" si="46"/>
        <v>0</v>
      </c>
      <c r="N624" s="151">
        <f>+IF(OR($Q624=Parametres!$G$2,$Q624=Parametres!$G$3),I624,C624)</f>
        <v>0</v>
      </c>
      <c r="O624" s="151">
        <f>+IF(OR($Q624=Parametres!$G$2,$Q624=Parametres!$G$3),J624,D624)</f>
        <v>0</v>
      </c>
      <c r="P624" s="151">
        <f>+IF(OR($Q624=Parametres!$G$2,$Q624=Parametres!$G$3),K624,E624)</f>
        <v>0</v>
      </c>
      <c r="Q624" s="150">
        <f t="shared" si="47"/>
        <v>0</v>
      </c>
      <c r="R624" s="149">
        <f t="shared" si="48"/>
        <v>0</v>
      </c>
      <c r="S624" s="150">
        <f t="shared" si="49"/>
        <v>0</v>
      </c>
      <c r="T624" s="152" t="e">
        <f>+VLOOKUP($L624,Data_Validation!$A:$D,1,0)</f>
        <v>#N/A</v>
      </c>
      <c r="U624" s="152" t="e">
        <f>+VLOOKUP($L624,Data_Validation!$A:$D,3,0)</f>
        <v>#N/A</v>
      </c>
      <c r="V624" s="152" t="e">
        <f>+VLOOKUP($L624,Data_Validation!$A:$D,4,0)</f>
        <v>#N/A</v>
      </c>
      <c r="W624" s="152" t="e">
        <f>+VLOOKUP($L624,Data_Validation!$A:$E,5,0)</f>
        <v>#N/A</v>
      </c>
      <c r="X624" s="152" t="e">
        <f>+VLOOKUP($L624,Data_Validation!$A:$F,6,0)</f>
        <v>#N/A</v>
      </c>
    </row>
    <row r="625" spans="1:24" ht="15" customHeight="1">
      <c r="A625" s="662"/>
      <c r="B625" s="662"/>
      <c r="C625" s="663"/>
      <c r="D625" s="663"/>
      <c r="E625" s="663"/>
      <c r="F625" s="662"/>
      <c r="G625" s="662"/>
      <c r="H625" s="657"/>
      <c r="I625" s="656"/>
      <c r="J625" s="656"/>
      <c r="K625" s="656"/>
      <c r="L625" s="149">
        <f t="shared" si="45"/>
        <v>0</v>
      </c>
      <c r="M625" s="150">
        <f t="shared" si="46"/>
        <v>0</v>
      </c>
      <c r="N625" s="151">
        <f>+IF(OR($Q625=Parametres!$G$2,$Q625=Parametres!$G$3),I625,C625)</f>
        <v>0</v>
      </c>
      <c r="O625" s="151">
        <f>+IF(OR($Q625=Parametres!$G$2,$Q625=Parametres!$G$3),J625,D625)</f>
        <v>0</v>
      </c>
      <c r="P625" s="151">
        <f>+IF(OR($Q625=Parametres!$G$2,$Q625=Parametres!$G$3),K625,E625)</f>
        <v>0</v>
      </c>
      <c r="Q625" s="150">
        <f t="shared" si="47"/>
        <v>0</v>
      </c>
      <c r="R625" s="149">
        <f t="shared" si="48"/>
        <v>0</v>
      </c>
      <c r="S625" s="150">
        <f t="shared" si="49"/>
        <v>0</v>
      </c>
      <c r="T625" s="152" t="e">
        <f>+VLOOKUP($L625,Data_Validation!$A:$D,1,0)</f>
        <v>#N/A</v>
      </c>
      <c r="U625" s="152" t="e">
        <f>+VLOOKUP($L625,Data_Validation!$A:$D,3,0)</f>
        <v>#N/A</v>
      </c>
      <c r="V625" s="152" t="e">
        <f>+VLOOKUP($L625,Data_Validation!$A:$D,4,0)</f>
        <v>#N/A</v>
      </c>
      <c r="W625" s="152" t="e">
        <f>+VLOOKUP($L625,Data_Validation!$A:$E,5,0)</f>
        <v>#N/A</v>
      </c>
      <c r="X625" s="152" t="e">
        <f>+VLOOKUP($L625,Data_Validation!$A:$F,6,0)</f>
        <v>#N/A</v>
      </c>
    </row>
    <row r="626" spans="1:24" ht="15" customHeight="1">
      <c r="A626" s="662"/>
      <c r="B626" s="662"/>
      <c r="C626" s="663"/>
      <c r="D626" s="663"/>
      <c r="E626" s="663"/>
      <c r="F626" s="662"/>
      <c r="G626" s="662"/>
      <c r="H626" s="657"/>
      <c r="I626" s="656"/>
      <c r="J626" s="656"/>
      <c r="K626" s="656"/>
      <c r="L626" s="149">
        <f t="shared" si="45"/>
        <v>0</v>
      </c>
      <c r="M626" s="150">
        <f t="shared" si="46"/>
        <v>0</v>
      </c>
      <c r="N626" s="151">
        <f>+IF(OR($Q626=Parametres!$G$2,$Q626=Parametres!$G$3),I626,C626)</f>
        <v>0</v>
      </c>
      <c r="O626" s="151">
        <f>+IF(OR($Q626=Parametres!$G$2,$Q626=Parametres!$G$3),J626,D626)</f>
        <v>0</v>
      </c>
      <c r="P626" s="151">
        <f>+IF(OR($Q626=Parametres!$G$2,$Q626=Parametres!$G$3),K626,E626)</f>
        <v>0</v>
      </c>
      <c r="Q626" s="150">
        <f t="shared" si="47"/>
        <v>0</v>
      </c>
      <c r="R626" s="149">
        <f t="shared" si="48"/>
        <v>0</v>
      </c>
      <c r="S626" s="150">
        <f t="shared" si="49"/>
        <v>0</v>
      </c>
      <c r="T626" s="152" t="e">
        <f>+VLOOKUP($L626,Data_Validation!$A:$D,1,0)</f>
        <v>#N/A</v>
      </c>
      <c r="U626" s="152" t="e">
        <f>+VLOOKUP($L626,Data_Validation!$A:$D,3,0)</f>
        <v>#N/A</v>
      </c>
      <c r="V626" s="152" t="e">
        <f>+VLOOKUP($L626,Data_Validation!$A:$D,4,0)</f>
        <v>#N/A</v>
      </c>
      <c r="W626" s="152" t="e">
        <f>+VLOOKUP($L626,Data_Validation!$A:$E,5,0)</f>
        <v>#N/A</v>
      </c>
      <c r="X626" s="152" t="e">
        <f>+VLOOKUP($L626,Data_Validation!$A:$F,6,0)</f>
        <v>#N/A</v>
      </c>
    </row>
    <row r="627" spans="1:24" ht="15" customHeight="1">
      <c r="A627" s="662"/>
      <c r="B627" s="662"/>
      <c r="C627" s="663"/>
      <c r="D627" s="663"/>
      <c r="E627" s="663"/>
      <c r="F627" s="662"/>
      <c r="G627" s="662"/>
      <c r="H627" s="657"/>
      <c r="I627" s="656"/>
      <c r="J627" s="656"/>
      <c r="K627" s="656"/>
      <c r="L627" s="149">
        <f t="shared" si="45"/>
        <v>0</v>
      </c>
      <c r="M627" s="150">
        <f t="shared" si="46"/>
        <v>0</v>
      </c>
      <c r="N627" s="151">
        <f>+IF(OR($Q627=Parametres!$G$2,$Q627=Parametres!$G$3),I627,C627)</f>
        <v>0</v>
      </c>
      <c r="O627" s="151">
        <f>+IF(OR($Q627=Parametres!$G$2,$Q627=Parametres!$G$3),J627,D627)</f>
        <v>0</v>
      </c>
      <c r="P627" s="151">
        <f>+IF(OR($Q627=Parametres!$G$2,$Q627=Parametres!$G$3),K627,E627)</f>
        <v>0</v>
      </c>
      <c r="Q627" s="150">
        <f t="shared" si="47"/>
        <v>0</v>
      </c>
      <c r="R627" s="149">
        <f t="shared" si="48"/>
        <v>0</v>
      </c>
      <c r="S627" s="150">
        <f t="shared" si="49"/>
        <v>0</v>
      </c>
      <c r="T627" s="152" t="e">
        <f>+VLOOKUP($L627,Data_Validation!$A:$D,1,0)</f>
        <v>#N/A</v>
      </c>
      <c r="U627" s="152" t="e">
        <f>+VLOOKUP($L627,Data_Validation!$A:$D,3,0)</f>
        <v>#N/A</v>
      </c>
      <c r="V627" s="152" t="e">
        <f>+VLOOKUP($L627,Data_Validation!$A:$D,4,0)</f>
        <v>#N/A</v>
      </c>
      <c r="W627" s="152" t="e">
        <f>+VLOOKUP($L627,Data_Validation!$A:$E,5,0)</f>
        <v>#N/A</v>
      </c>
      <c r="X627" s="152" t="e">
        <f>+VLOOKUP($L627,Data_Validation!$A:$F,6,0)</f>
        <v>#N/A</v>
      </c>
    </row>
    <row r="628" spans="1:24" ht="15" customHeight="1">
      <c r="A628" s="662"/>
      <c r="B628" s="662"/>
      <c r="C628" s="663"/>
      <c r="D628" s="663"/>
      <c r="E628" s="663"/>
      <c r="F628" s="662"/>
      <c r="G628" s="662"/>
      <c r="H628" s="657"/>
      <c r="I628" s="656"/>
      <c r="J628" s="656"/>
      <c r="K628" s="656"/>
      <c r="L628" s="149">
        <f t="shared" si="45"/>
        <v>0</v>
      </c>
      <c r="M628" s="150">
        <f t="shared" si="46"/>
        <v>0</v>
      </c>
      <c r="N628" s="151">
        <f>+IF(OR($Q628=Parametres!$G$2,$Q628=Parametres!$G$3),I628,C628)</f>
        <v>0</v>
      </c>
      <c r="O628" s="151">
        <f>+IF(OR($Q628=Parametres!$G$2,$Q628=Parametres!$G$3),J628,D628)</f>
        <v>0</v>
      </c>
      <c r="P628" s="151">
        <f>+IF(OR($Q628=Parametres!$G$2,$Q628=Parametres!$G$3),K628,E628)</f>
        <v>0</v>
      </c>
      <c r="Q628" s="150">
        <f t="shared" si="47"/>
        <v>0</v>
      </c>
      <c r="R628" s="149">
        <f t="shared" si="48"/>
        <v>0</v>
      </c>
      <c r="S628" s="150">
        <f t="shared" si="49"/>
        <v>0</v>
      </c>
      <c r="T628" s="152" t="e">
        <f>+VLOOKUP($L628,Data_Validation!$A:$D,1,0)</f>
        <v>#N/A</v>
      </c>
      <c r="U628" s="152" t="e">
        <f>+VLOOKUP($L628,Data_Validation!$A:$D,3,0)</f>
        <v>#N/A</v>
      </c>
      <c r="V628" s="152" t="e">
        <f>+VLOOKUP($L628,Data_Validation!$A:$D,4,0)</f>
        <v>#N/A</v>
      </c>
      <c r="W628" s="152" t="e">
        <f>+VLOOKUP($L628,Data_Validation!$A:$E,5,0)</f>
        <v>#N/A</v>
      </c>
      <c r="X628" s="152" t="e">
        <f>+VLOOKUP($L628,Data_Validation!$A:$F,6,0)</f>
        <v>#N/A</v>
      </c>
    </row>
    <row r="629" spans="1:24" ht="15" customHeight="1">
      <c r="A629" s="662"/>
      <c r="B629" s="662"/>
      <c r="C629" s="663"/>
      <c r="D629" s="663"/>
      <c r="E629" s="663"/>
      <c r="F629" s="662"/>
      <c r="G629" s="662"/>
      <c r="H629" s="657"/>
      <c r="I629" s="656"/>
      <c r="J629" s="656"/>
      <c r="K629" s="656"/>
      <c r="L629" s="149">
        <f t="shared" si="45"/>
        <v>0</v>
      </c>
      <c r="M629" s="150">
        <f t="shared" si="46"/>
        <v>0</v>
      </c>
      <c r="N629" s="151">
        <f>+IF(OR($Q629=Parametres!$G$2,$Q629=Parametres!$G$3),I629,C629)</f>
        <v>0</v>
      </c>
      <c r="O629" s="151">
        <f>+IF(OR($Q629=Parametres!$G$2,$Q629=Parametres!$G$3),J629,D629)</f>
        <v>0</v>
      </c>
      <c r="P629" s="151">
        <f>+IF(OR($Q629=Parametres!$G$2,$Q629=Parametres!$G$3),K629,E629)</f>
        <v>0</v>
      </c>
      <c r="Q629" s="150">
        <f t="shared" si="47"/>
        <v>0</v>
      </c>
      <c r="R629" s="149">
        <f t="shared" si="48"/>
        <v>0</v>
      </c>
      <c r="S629" s="150">
        <f t="shared" si="49"/>
        <v>0</v>
      </c>
      <c r="T629" s="152" t="e">
        <f>+VLOOKUP($L629,Data_Validation!$A:$D,1,0)</f>
        <v>#N/A</v>
      </c>
      <c r="U629" s="152" t="e">
        <f>+VLOOKUP($L629,Data_Validation!$A:$D,3,0)</f>
        <v>#N/A</v>
      </c>
      <c r="V629" s="152" t="e">
        <f>+VLOOKUP($L629,Data_Validation!$A:$D,4,0)</f>
        <v>#N/A</v>
      </c>
      <c r="W629" s="152" t="e">
        <f>+VLOOKUP($L629,Data_Validation!$A:$E,5,0)</f>
        <v>#N/A</v>
      </c>
      <c r="X629" s="152" t="e">
        <f>+VLOOKUP($L629,Data_Validation!$A:$F,6,0)</f>
        <v>#N/A</v>
      </c>
    </row>
    <row r="630" spans="1:24" ht="15" customHeight="1">
      <c r="A630" s="662"/>
      <c r="B630" s="662"/>
      <c r="C630" s="663"/>
      <c r="D630" s="663"/>
      <c r="E630" s="663"/>
      <c r="F630" s="662"/>
      <c r="G630" s="662"/>
      <c r="H630" s="657"/>
      <c r="I630" s="656"/>
      <c r="J630" s="656"/>
      <c r="K630" s="656"/>
      <c r="L630" s="149">
        <f t="shared" si="45"/>
        <v>0</v>
      </c>
      <c r="M630" s="150">
        <f t="shared" si="46"/>
        <v>0</v>
      </c>
      <c r="N630" s="151">
        <f>+IF(OR($Q630=Parametres!$G$2,$Q630=Parametres!$G$3),I630,C630)</f>
        <v>0</v>
      </c>
      <c r="O630" s="151">
        <f>+IF(OR($Q630=Parametres!$G$2,$Q630=Parametres!$G$3),J630,D630)</f>
        <v>0</v>
      </c>
      <c r="P630" s="151">
        <f>+IF(OR($Q630=Parametres!$G$2,$Q630=Parametres!$G$3),K630,E630)</f>
        <v>0</v>
      </c>
      <c r="Q630" s="150">
        <f t="shared" si="47"/>
        <v>0</v>
      </c>
      <c r="R630" s="149">
        <f t="shared" si="48"/>
        <v>0</v>
      </c>
      <c r="S630" s="150">
        <f t="shared" si="49"/>
        <v>0</v>
      </c>
      <c r="T630" s="152" t="e">
        <f>+VLOOKUP($L630,Data_Validation!$A:$D,1,0)</f>
        <v>#N/A</v>
      </c>
      <c r="U630" s="152" t="e">
        <f>+VLOOKUP($L630,Data_Validation!$A:$D,3,0)</f>
        <v>#N/A</v>
      </c>
      <c r="V630" s="152" t="e">
        <f>+VLOOKUP($L630,Data_Validation!$A:$D,4,0)</f>
        <v>#N/A</v>
      </c>
      <c r="W630" s="152" t="e">
        <f>+VLOOKUP($L630,Data_Validation!$A:$E,5,0)</f>
        <v>#N/A</v>
      </c>
      <c r="X630" s="152" t="e">
        <f>+VLOOKUP($L630,Data_Validation!$A:$F,6,0)</f>
        <v>#N/A</v>
      </c>
    </row>
    <row r="631" spans="1:24" ht="15" customHeight="1">
      <c r="A631" s="662"/>
      <c r="B631" s="662"/>
      <c r="C631" s="663"/>
      <c r="D631" s="663"/>
      <c r="E631" s="663"/>
      <c r="F631" s="662"/>
      <c r="G631" s="662"/>
      <c r="H631" s="657"/>
      <c r="I631" s="656"/>
      <c r="J631" s="656"/>
      <c r="K631" s="656"/>
      <c r="L631" s="149">
        <f t="shared" si="45"/>
        <v>0</v>
      </c>
      <c r="M631" s="150">
        <f t="shared" si="46"/>
        <v>0</v>
      </c>
      <c r="N631" s="151">
        <f>+IF(OR($Q631=Parametres!$G$2,$Q631=Parametres!$G$3),I631,C631)</f>
        <v>0</v>
      </c>
      <c r="O631" s="151">
        <f>+IF(OR($Q631=Parametres!$G$2,$Q631=Parametres!$G$3),J631,D631)</f>
        <v>0</v>
      </c>
      <c r="P631" s="151">
        <f>+IF(OR($Q631=Parametres!$G$2,$Q631=Parametres!$G$3),K631,E631)</f>
        <v>0</v>
      </c>
      <c r="Q631" s="150">
        <f t="shared" si="47"/>
        <v>0</v>
      </c>
      <c r="R631" s="149">
        <f t="shared" si="48"/>
        <v>0</v>
      </c>
      <c r="S631" s="150">
        <f t="shared" si="49"/>
        <v>0</v>
      </c>
      <c r="T631" s="152" t="e">
        <f>+VLOOKUP($L631,Data_Validation!$A:$D,1,0)</f>
        <v>#N/A</v>
      </c>
      <c r="U631" s="152" t="e">
        <f>+VLOOKUP($L631,Data_Validation!$A:$D,3,0)</f>
        <v>#N/A</v>
      </c>
      <c r="V631" s="152" t="e">
        <f>+VLOOKUP($L631,Data_Validation!$A:$D,4,0)</f>
        <v>#N/A</v>
      </c>
      <c r="W631" s="152" t="e">
        <f>+VLOOKUP($L631,Data_Validation!$A:$E,5,0)</f>
        <v>#N/A</v>
      </c>
      <c r="X631" s="152" t="e">
        <f>+VLOOKUP($L631,Data_Validation!$A:$F,6,0)</f>
        <v>#N/A</v>
      </c>
    </row>
    <row r="632" spans="1:24" ht="15" customHeight="1">
      <c r="A632" s="662"/>
      <c r="B632" s="662"/>
      <c r="C632" s="663"/>
      <c r="D632" s="663"/>
      <c r="E632" s="663"/>
      <c r="F632" s="662"/>
      <c r="G632" s="662"/>
      <c r="H632" s="657"/>
      <c r="I632" s="656"/>
      <c r="J632" s="656"/>
      <c r="K632" s="656"/>
      <c r="L632" s="149">
        <f t="shared" si="45"/>
        <v>0</v>
      </c>
      <c r="M632" s="150">
        <f t="shared" si="46"/>
        <v>0</v>
      </c>
      <c r="N632" s="151">
        <f>+IF(OR($Q632=Parametres!$G$2,$Q632=Parametres!$G$3),I632,C632)</f>
        <v>0</v>
      </c>
      <c r="O632" s="151">
        <f>+IF(OR($Q632=Parametres!$G$2,$Q632=Parametres!$G$3),J632,D632)</f>
        <v>0</v>
      </c>
      <c r="P632" s="151">
        <f>+IF(OR($Q632=Parametres!$G$2,$Q632=Parametres!$G$3),K632,E632)</f>
        <v>0</v>
      </c>
      <c r="Q632" s="150">
        <f t="shared" si="47"/>
        <v>0</v>
      </c>
      <c r="R632" s="149">
        <f t="shared" si="48"/>
        <v>0</v>
      </c>
      <c r="S632" s="150">
        <f t="shared" si="49"/>
        <v>0</v>
      </c>
      <c r="T632" s="152" t="e">
        <f>+VLOOKUP($L632,Data_Validation!$A:$D,1,0)</f>
        <v>#N/A</v>
      </c>
      <c r="U632" s="152" t="e">
        <f>+VLOOKUP($L632,Data_Validation!$A:$D,3,0)</f>
        <v>#N/A</v>
      </c>
      <c r="V632" s="152" t="e">
        <f>+VLOOKUP($L632,Data_Validation!$A:$D,4,0)</f>
        <v>#N/A</v>
      </c>
      <c r="W632" s="152" t="e">
        <f>+VLOOKUP($L632,Data_Validation!$A:$E,5,0)</f>
        <v>#N/A</v>
      </c>
      <c r="X632" s="152" t="e">
        <f>+VLOOKUP($L632,Data_Validation!$A:$F,6,0)</f>
        <v>#N/A</v>
      </c>
    </row>
    <row r="633" spans="1:24" ht="15" customHeight="1">
      <c r="A633" s="662"/>
      <c r="B633" s="662"/>
      <c r="C633" s="663"/>
      <c r="D633" s="663"/>
      <c r="E633" s="663"/>
      <c r="F633" s="662"/>
      <c r="G633" s="662"/>
      <c r="H633" s="657"/>
      <c r="I633" s="656"/>
      <c r="J633" s="656"/>
      <c r="K633" s="656"/>
      <c r="L633" s="149">
        <f t="shared" si="45"/>
        <v>0</v>
      </c>
      <c r="M633" s="150">
        <f t="shared" si="46"/>
        <v>0</v>
      </c>
      <c r="N633" s="151">
        <f>+IF(OR($Q633=Parametres!$G$2,$Q633=Parametres!$G$3),I633,C633)</f>
        <v>0</v>
      </c>
      <c r="O633" s="151">
        <f>+IF(OR($Q633=Parametres!$G$2,$Q633=Parametres!$G$3),J633,D633)</f>
        <v>0</v>
      </c>
      <c r="P633" s="151">
        <f>+IF(OR($Q633=Parametres!$G$2,$Q633=Parametres!$G$3),K633,E633)</f>
        <v>0</v>
      </c>
      <c r="Q633" s="150">
        <f t="shared" si="47"/>
        <v>0</v>
      </c>
      <c r="R633" s="149">
        <f t="shared" si="48"/>
        <v>0</v>
      </c>
      <c r="S633" s="150">
        <f t="shared" si="49"/>
        <v>0</v>
      </c>
      <c r="T633" s="152" t="e">
        <f>+VLOOKUP($L633,Data_Validation!$A:$D,1,0)</f>
        <v>#N/A</v>
      </c>
      <c r="U633" s="152" t="e">
        <f>+VLOOKUP($L633,Data_Validation!$A:$D,3,0)</f>
        <v>#N/A</v>
      </c>
      <c r="V633" s="152" t="e">
        <f>+VLOOKUP($L633,Data_Validation!$A:$D,4,0)</f>
        <v>#N/A</v>
      </c>
      <c r="W633" s="152" t="e">
        <f>+VLOOKUP($L633,Data_Validation!$A:$E,5,0)</f>
        <v>#N/A</v>
      </c>
      <c r="X633" s="152" t="e">
        <f>+VLOOKUP($L633,Data_Validation!$A:$F,6,0)</f>
        <v>#N/A</v>
      </c>
    </row>
    <row r="634" spans="1:24" ht="15" customHeight="1">
      <c r="A634" s="662"/>
      <c r="B634" s="662"/>
      <c r="C634" s="663"/>
      <c r="D634" s="663"/>
      <c r="E634" s="663"/>
      <c r="F634" s="662"/>
      <c r="G634" s="662"/>
      <c r="H634" s="657"/>
      <c r="I634" s="656"/>
      <c r="J634" s="656"/>
      <c r="K634" s="656"/>
      <c r="L634" s="149">
        <f t="shared" si="45"/>
        <v>0</v>
      </c>
      <c r="M634" s="150">
        <f t="shared" si="46"/>
        <v>0</v>
      </c>
      <c r="N634" s="151">
        <f>+IF(OR($Q634=Parametres!$G$2,$Q634=Parametres!$G$3),I634,C634)</f>
        <v>0</v>
      </c>
      <c r="O634" s="151">
        <f>+IF(OR($Q634=Parametres!$G$2,$Q634=Parametres!$G$3),J634,D634)</f>
        <v>0</v>
      </c>
      <c r="P634" s="151">
        <f>+IF(OR($Q634=Parametres!$G$2,$Q634=Parametres!$G$3),K634,E634)</f>
        <v>0</v>
      </c>
      <c r="Q634" s="150">
        <f t="shared" si="47"/>
        <v>0</v>
      </c>
      <c r="R634" s="149">
        <f t="shared" si="48"/>
        <v>0</v>
      </c>
      <c r="S634" s="150">
        <f t="shared" si="49"/>
        <v>0</v>
      </c>
      <c r="T634" s="152" t="e">
        <f>+VLOOKUP($L634,Data_Validation!$A:$D,1,0)</f>
        <v>#N/A</v>
      </c>
      <c r="U634" s="152" t="e">
        <f>+VLOOKUP($L634,Data_Validation!$A:$D,3,0)</f>
        <v>#N/A</v>
      </c>
      <c r="V634" s="152" t="e">
        <f>+VLOOKUP($L634,Data_Validation!$A:$D,4,0)</f>
        <v>#N/A</v>
      </c>
      <c r="W634" s="152" t="e">
        <f>+VLOOKUP($L634,Data_Validation!$A:$E,5,0)</f>
        <v>#N/A</v>
      </c>
      <c r="X634" s="152" t="e">
        <f>+VLOOKUP($L634,Data_Validation!$A:$F,6,0)</f>
        <v>#N/A</v>
      </c>
    </row>
    <row r="635" spans="1:24" ht="15" customHeight="1">
      <c r="A635" s="662"/>
      <c r="B635" s="662"/>
      <c r="C635" s="663"/>
      <c r="D635" s="663"/>
      <c r="E635" s="663"/>
      <c r="F635" s="662"/>
      <c r="G635" s="662"/>
      <c r="H635" s="657"/>
      <c r="I635" s="656"/>
      <c r="J635" s="656"/>
      <c r="K635" s="656"/>
      <c r="L635" s="149">
        <f t="shared" si="45"/>
        <v>0</v>
      </c>
      <c r="M635" s="150">
        <f t="shared" si="46"/>
        <v>0</v>
      </c>
      <c r="N635" s="151">
        <f>+IF(OR($Q635=Parametres!$G$2,$Q635=Parametres!$G$3),I635,C635)</f>
        <v>0</v>
      </c>
      <c r="O635" s="151">
        <f>+IF(OR($Q635=Parametres!$G$2,$Q635=Parametres!$G$3),J635,D635)</f>
        <v>0</v>
      </c>
      <c r="P635" s="151">
        <f>+IF(OR($Q635=Parametres!$G$2,$Q635=Parametres!$G$3),K635,E635)</f>
        <v>0</v>
      </c>
      <c r="Q635" s="150">
        <f t="shared" si="47"/>
        <v>0</v>
      </c>
      <c r="R635" s="149">
        <f t="shared" si="48"/>
        <v>0</v>
      </c>
      <c r="S635" s="150">
        <f t="shared" si="49"/>
        <v>0</v>
      </c>
      <c r="T635" s="152" t="e">
        <f>+VLOOKUP($L635,Data_Validation!$A:$D,1,0)</f>
        <v>#N/A</v>
      </c>
      <c r="U635" s="152" t="e">
        <f>+VLOOKUP($L635,Data_Validation!$A:$D,3,0)</f>
        <v>#N/A</v>
      </c>
      <c r="V635" s="152" t="e">
        <f>+VLOOKUP($L635,Data_Validation!$A:$D,4,0)</f>
        <v>#N/A</v>
      </c>
      <c r="W635" s="152" t="e">
        <f>+VLOOKUP($L635,Data_Validation!$A:$E,5,0)</f>
        <v>#N/A</v>
      </c>
      <c r="X635" s="152" t="e">
        <f>+VLOOKUP($L635,Data_Validation!$A:$F,6,0)</f>
        <v>#N/A</v>
      </c>
    </row>
    <row r="636" spans="1:24" ht="15" customHeight="1">
      <c r="A636" s="662"/>
      <c r="B636" s="662"/>
      <c r="C636" s="663"/>
      <c r="D636" s="663"/>
      <c r="E636" s="663"/>
      <c r="F636" s="662"/>
      <c r="G636" s="662"/>
      <c r="H636" s="657"/>
      <c r="I636" s="656"/>
      <c r="J636" s="656"/>
      <c r="K636" s="656"/>
      <c r="L636" s="149">
        <f t="shared" si="45"/>
        <v>0</v>
      </c>
      <c r="M636" s="150">
        <f t="shared" si="46"/>
        <v>0</v>
      </c>
      <c r="N636" s="151">
        <f>+IF(OR($Q636=Parametres!$G$2,$Q636=Parametres!$G$3),I636,C636)</f>
        <v>0</v>
      </c>
      <c r="O636" s="151">
        <f>+IF(OR($Q636=Parametres!$G$2,$Q636=Parametres!$G$3),J636,D636)</f>
        <v>0</v>
      </c>
      <c r="P636" s="151">
        <f>+IF(OR($Q636=Parametres!$G$2,$Q636=Parametres!$G$3),K636,E636)</f>
        <v>0</v>
      </c>
      <c r="Q636" s="150">
        <f t="shared" si="47"/>
        <v>0</v>
      </c>
      <c r="R636" s="149">
        <f t="shared" si="48"/>
        <v>0</v>
      </c>
      <c r="S636" s="150">
        <f t="shared" si="49"/>
        <v>0</v>
      </c>
      <c r="T636" s="152" t="e">
        <f>+VLOOKUP($L636,Data_Validation!$A:$D,1,0)</f>
        <v>#N/A</v>
      </c>
      <c r="U636" s="152" t="e">
        <f>+VLOOKUP($L636,Data_Validation!$A:$D,3,0)</f>
        <v>#N/A</v>
      </c>
      <c r="V636" s="152" t="e">
        <f>+VLOOKUP($L636,Data_Validation!$A:$D,4,0)</f>
        <v>#N/A</v>
      </c>
      <c r="W636" s="152" t="e">
        <f>+VLOOKUP($L636,Data_Validation!$A:$E,5,0)</f>
        <v>#N/A</v>
      </c>
      <c r="X636" s="152" t="e">
        <f>+VLOOKUP($L636,Data_Validation!$A:$F,6,0)</f>
        <v>#N/A</v>
      </c>
    </row>
    <row r="637" spans="1:24" ht="15" customHeight="1">
      <c r="A637" s="662"/>
      <c r="B637" s="662"/>
      <c r="C637" s="663"/>
      <c r="D637" s="663"/>
      <c r="E637" s="663"/>
      <c r="F637" s="662"/>
      <c r="G637" s="662"/>
      <c r="H637" s="657"/>
      <c r="I637" s="656"/>
      <c r="J637" s="656"/>
      <c r="K637" s="656"/>
      <c r="L637" s="149">
        <f t="shared" si="45"/>
        <v>0</v>
      </c>
      <c r="M637" s="150">
        <f t="shared" si="46"/>
        <v>0</v>
      </c>
      <c r="N637" s="151">
        <f>+IF(OR($Q637=Parametres!$G$2,$Q637=Parametres!$G$3),I637,C637)</f>
        <v>0</v>
      </c>
      <c r="O637" s="151">
        <f>+IF(OR($Q637=Parametres!$G$2,$Q637=Parametres!$G$3),J637,D637)</f>
        <v>0</v>
      </c>
      <c r="P637" s="151">
        <f>+IF(OR($Q637=Parametres!$G$2,$Q637=Parametres!$G$3),K637,E637)</f>
        <v>0</v>
      </c>
      <c r="Q637" s="150">
        <f t="shared" si="47"/>
        <v>0</v>
      </c>
      <c r="R637" s="149">
        <f t="shared" si="48"/>
        <v>0</v>
      </c>
      <c r="S637" s="150">
        <f t="shared" si="49"/>
        <v>0</v>
      </c>
      <c r="T637" s="152" t="e">
        <f>+VLOOKUP($L637,Data_Validation!$A:$D,1,0)</f>
        <v>#N/A</v>
      </c>
      <c r="U637" s="152" t="e">
        <f>+VLOOKUP($L637,Data_Validation!$A:$D,3,0)</f>
        <v>#N/A</v>
      </c>
      <c r="V637" s="152" t="e">
        <f>+VLOOKUP($L637,Data_Validation!$A:$D,4,0)</f>
        <v>#N/A</v>
      </c>
      <c r="W637" s="152" t="e">
        <f>+VLOOKUP($L637,Data_Validation!$A:$E,5,0)</f>
        <v>#N/A</v>
      </c>
      <c r="X637" s="152" t="e">
        <f>+VLOOKUP($L637,Data_Validation!$A:$F,6,0)</f>
        <v>#N/A</v>
      </c>
    </row>
    <row r="638" spans="1:24" ht="15" customHeight="1">
      <c r="A638" s="662"/>
      <c r="B638" s="662"/>
      <c r="C638" s="663"/>
      <c r="D638" s="663"/>
      <c r="E638" s="663"/>
      <c r="F638" s="662"/>
      <c r="G638" s="662"/>
      <c r="H638" s="657"/>
      <c r="I638" s="656"/>
      <c r="J638" s="656"/>
      <c r="K638" s="656"/>
      <c r="L638" s="149">
        <f t="shared" si="45"/>
        <v>0</v>
      </c>
      <c r="M638" s="150">
        <f t="shared" si="46"/>
        <v>0</v>
      </c>
      <c r="N638" s="151">
        <f>+IF(OR($Q638=Parametres!$G$2,$Q638=Parametres!$G$3),I638,C638)</f>
        <v>0</v>
      </c>
      <c r="O638" s="151">
        <f>+IF(OR($Q638=Parametres!$G$2,$Q638=Parametres!$G$3),J638,D638)</f>
        <v>0</v>
      </c>
      <c r="P638" s="151">
        <f>+IF(OR($Q638=Parametres!$G$2,$Q638=Parametres!$G$3),K638,E638)</f>
        <v>0</v>
      </c>
      <c r="Q638" s="150">
        <f t="shared" si="47"/>
        <v>0</v>
      </c>
      <c r="R638" s="149">
        <f t="shared" si="48"/>
        <v>0</v>
      </c>
      <c r="S638" s="150">
        <f t="shared" si="49"/>
        <v>0</v>
      </c>
      <c r="T638" s="152" t="e">
        <f>+VLOOKUP($L638,Data_Validation!$A:$D,1,0)</f>
        <v>#N/A</v>
      </c>
      <c r="U638" s="152" t="e">
        <f>+VLOOKUP($L638,Data_Validation!$A:$D,3,0)</f>
        <v>#N/A</v>
      </c>
      <c r="V638" s="152" t="e">
        <f>+VLOOKUP($L638,Data_Validation!$A:$D,4,0)</f>
        <v>#N/A</v>
      </c>
      <c r="W638" s="152" t="e">
        <f>+VLOOKUP($L638,Data_Validation!$A:$E,5,0)</f>
        <v>#N/A</v>
      </c>
      <c r="X638" s="152" t="e">
        <f>+VLOOKUP($L638,Data_Validation!$A:$F,6,0)</f>
        <v>#N/A</v>
      </c>
    </row>
    <row r="639" spans="1:24" ht="15.75" customHeight="1">
      <c r="A639" s="662"/>
      <c r="B639" s="662"/>
      <c r="C639" s="663"/>
      <c r="D639" s="663"/>
      <c r="E639" s="663"/>
      <c r="F639" s="662"/>
      <c r="G639" s="662"/>
      <c r="H639" s="657"/>
      <c r="I639" s="656"/>
      <c r="J639" s="656"/>
      <c r="K639" s="656"/>
      <c r="L639" s="149">
        <f t="shared" si="45"/>
        <v>0</v>
      </c>
      <c r="M639" s="150">
        <f t="shared" si="46"/>
        <v>0</v>
      </c>
      <c r="N639" s="151">
        <f>+IF(OR($Q639=Parametres!$G$2,$Q639=Parametres!$G$3),I639,C639)</f>
        <v>0</v>
      </c>
      <c r="O639" s="151">
        <f>+IF(OR($Q639=Parametres!$G$2,$Q639=Parametres!$G$3),J639,D639)</f>
        <v>0</v>
      </c>
      <c r="P639" s="151">
        <f>+IF(OR($Q639=Parametres!$G$2,$Q639=Parametres!$G$3),K639,E639)</f>
        <v>0</v>
      </c>
      <c r="Q639" s="150">
        <f t="shared" si="47"/>
        <v>0</v>
      </c>
      <c r="R639" s="149">
        <f t="shared" si="48"/>
        <v>0</v>
      </c>
      <c r="S639" s="150">
        <f t="shared" si="49"/>
        <v>0</v>
      </c>
      <c r="T639" s="152" t="e">
        <f>+VLOOKUP($L639,Data_Validation!$A:$D,1,0)</f>
        <v>#N/A</v>
      </c>
      <c r="U639" s="152" t="e">
        <f>+VLOOKUP($L639,Data_Validation!$A:$D,3,0)</f>
        <v>#N/A</v>
      </c>
      <c r="V639" s="152" t="e">
        <f>+VLOOKUP($L639,Data_Validation!$A:$D,4,0)</f>
        <v>#N/A</v>
      </c>
      <c r="W639" s="152" t="e">
        <f>+VLOOKUP($L639,Data_Validation!$A:$E,5,0)</f>
        <v>#N/A</v>
      </c>
      <c r="X639" s="152" t="e">
        <f>+VLOOKUP($L639,Data_Validation!$A:$F,6,0)</f>
        <v>#N/A</v>
      </c>
    </row>
    <row r="640" spans="1:24" ht="15.75" customHeight="1">
      <c r="A640" s="662"/>
      <c r="B640" s="662"/>
      <c r="C640" s="663"/>
      <c r="D640" s="663"/>
      <c r="E640" s="663"/>
      <c r="F640" s="662"/>
      <c r="G640" s="662"/>
      <c r="H640" s="657"/>
      <c r="I640" s="656"/>
      <c r="J640" s="656"/>
      <c r="K640" s="656"/>
      <c r="L640" s="149">
        <f t="shared" si="45"/>
        <v>0</v>
      </c>
      <c r="M640" s="150">
        <f t="shared" si="46"/>
        <v>0</v>
      </c>
      <c r="N640" s="151">
        <f>+IF(OR($Q640=Parametres!$G$2,$Q640=Parametres!$G$3),I640,C640)</f>
        <v>0</v>
      </c>
      <c r="O640" s="151">
        <f>+IF(OR($Q640=Parametres!$G$2,$Q640=Parametres!$G$3),J640,D640)</f>
        <v>0</v>
      </c>
      <c r="P640" s="151">
        <f>+IF(OR($Q640=Parametres!$G$2,$Q640=Parametres!$G$3),K640,E640)</f>
        <v>0</v>
      </c>
      <c r="Q640" s="150">
        <f t="shared" si="47"/>
        <v>0</v>
      </c>
      <c r="R640" s="149">
        <f t="shared" si="48"/>
        <v>0</v>
      </c>
      <c r="S640" s="150">
        <f t="shared" si="49"/>
        <v>0</v>
      </c>
      <c r="T640" s="152" t="e">
        <f>+VLOOKUP($L640,Data_Validation!$A:$D,1,0)</f>
        <v>#N/A</v>
      </c>
      <c r="U640" s="152" t="e">
        <f>+VLOOKUP($L640,Data_Validation!$A:$D,3,0)</f>
        <v>#N/A</v>
      </c>
      <c r="V640" s="152" t="e">
        <f>+VLOOKUP($L640,Data_Validation!$A:$D,4,0)</f>
        <v>#N/A</v>
      </c>
      <c r="W640" s="152" t="e">
        <f>+VLOOKUP($L640,Data_Validation!$A:$E,5,0)</f>
        <v>#N/A</v>
      </c>
      <c r="X640" s="152" t="e">
        <f>+VLOOKUP($L640,Data_Validation!$A:$F,6,0)</f>
        <v>#N/A</v>
      </c>
    </row>
    <row r="641" spans="1:24" ht="15.75" customHeight="1">
      <c r="A641" s="662"/>
      <c r="B641" s="662"/>
      <c r="C641" s="663"/>
      <c r="D641" s="663"/>
      <c r="E641" s="663"/>
      <c r="F641" s="662"/>
      <c r="G641" s="662"/>
      <c r="H641" s="657"/>
      <c r="I641" s="656"/>
      <c r="J641" s="656"/>
      <c r="K641" s="656"/>
      <c r="L641" s="149">
        <f t="shared" si="45"/>
        <v>0</v>
      </c>
      <c r="M641" s="150">
        <f t="shared" si="46"/>
        <v>0</v>
      </c>
      <c r="N641" s="151">
        <f>+IF(OR($Q641=Parametres!$G$2,$Q641=Parametres!$G$3),I641,C641)</f>
        <v>0</v>
      </c>
      <c r="O641" s="151">
        <f>+IF(OR($Q641=Parametres!$G$2,$Q641=Parametres!$G$3),J641,D641)</f>
        <v>0</v>
      </c>
      <c r="P641" s="151">
        <f>+IF(OR($Q641=Parametres!$G$2,$Q641=Parametres!$G$3),K641,E641)</f>
        <v>0</v>
      </c>
      <c r="Q641" s="150">
        <f t="shared" si="47"/>
        <v>0</v>
      </c>
      <c r="R641" s="149">
        <f t="shared" si="48"/>
        <v>0</v>
      </c>
      <c r="S641" s="150">
        <f t="shared" si="49"/>
        <v>0</v>
      </c>
      <c r="T641" s="152" t="e">
        <f>+VLOOKUP($L641,Data_Validation!$A:$D,1,0)</f>
        <v>#N/A</v>
      </c>
      <c r="U641" s="152" t="e">
        <f>+VLOOKUP($L641,Data_Validation!$A:$D,3,0)</f>
        <v>#N/A</v>
      </c>
      <c r="V641" s="152" t="e">
        <f>+VLOOKUP($L641,Data_Validation!$A:$D,4,0)</f>
        <v>#N/A</v>
      </c>
      <c r="W641" s="152" t="e">
        <f>+VLOOKUP($L641,Data_Validation!$A:$E,5,0)</f>
        <v>#N/A</v>
      </c>
      <c r="X641" s="152" t="e">
        <f>+VLOOKUP($L641,Data_Validation!$A:$F,6,0)</f>
        <v>#N/A</v>
      </c>
    </row>
    <row r="642" spans="1:24" ht="15.75" customHeight="1">
      <c r="A642" s="662"/>
      <c r="B642" s="662"/>
      <c r="C642" s="663"/>
      <c r="D642" s="663"/>
      <c r="E642" s="663"/>
      <c r="F642" s="662"/>
      <c r="G642" s="662"/>
      <c r="H642" s="657"/>
      <c r="I642" s="656"/>
      <c r="J642" s="656"/>
      <c r="K642" s="656"/>
      <c r="L642" s="149">
        <f t="shared" ref="L642:L705" si="50">+B642</f>
        <v>0</v>
      </c>
      <c r="M642" s="150">
        <f t="shared" ref="M642:M705" si="51">+A642</f>
        <v>0</v>
      </c>
      <c r="N642" s="151">
        <f>+IF(OR($Q642=Parametres!$G$2,$Q642=Parametres!$G$3),I642,C642)</f>
        <v>0</v>
      </c>
      <c r="O642" s="151">
        <f>+IF(OR($Q642=Parametres!$G$2,$Q642=Parametres!$G$3),J642,D642)</f>
        <v>0</v>
      </c>
      <c r="P642" s="151">
        <f>+IF(OR($Q642=Parametres!$G$2,$Q642=Parametres!$G$3),K642,E642)</f>
        <v>0</v>
      </c>
      <c r="Q642" s="150">
        <f t="shared" ref="Q642:Q705" si="52">+F642</f>
        <v>0</v>
      </c>
      <c r="R642" s="149">
        <f t="shared" ref="R642:R705" si="53">+G642</f>
        <v>0</v>
      </c>
      <c r="S642" s="150">
        <f t="shared" ref="S642:S705" si="54">+H642</f>
        <v>0</v>
      </c>
      <c r="T642" s="152" t="e">
        <f>+VLOOKUP($L642,Data_Validation!$A:$D,1,0)</f>
        <v>#N/A</v>
      </c>
      <c r="U642" s="152" t="e">
        <f>+VLOOKUP($L642,Data_Validation!$A:$D,3,0)</f>
        <v>#N/A</v>
      </c>
      <c r="V642" s="152" t="e">
        <f>+VLOOKUP($L642,Data_Validation!$A:$D,4,0)</f>
        <v>#N/A</v>
      </c>
      <c r="W642" s="152" t="e">
        <f>+VLOOKUP($L642,Data_Validation!$A:$E,5,0)</f>
        <v>#N/A</v>
      </c>
      <c r="X642" s="152" t="e">
        <f>+VLOOKUP($L642,Data_Validation!$A:$F,6,0)</f>
        <v>#N/A</v>
      </c>
    </row>
    <row r="643" spans="1:24" ht="15.75" customHeight="1">
      <c r="A643" s="662"/>
      <c r="B643" s="662"/>
      <c r="C643" s="663"/>
      <c r="D643" s="663"/>
      <c r="E643" s="663"/>
      <c r="F643" s="662"/>
      <c r="G643" s="662"/>
      <c r="H643" s="657"/>
      <c r="I643" s="656"/>
      <c r="J643" s="656"/>
      <c r="K643" s="656"/>
      <c r="L643" s="149">
        <f t="shared" si="50"/>
        <v>0</v>
      </c>
      <c r="M643" s="150">
        <f t="shared" si="51"/>
        <v>0</v>
      </c>
      <c r="N643" s="151">
        <f>+IF(OR($Q643=Parametres!$G$2,$Q643=Parametres!$G$3),I643,C643)</f>
        <v>0</v>
      </c>
      <c r="O643" s="151">
        <f>+IF(OR($Q643=Parametres!$G$2,$Q643=Parametres!$G$3),J643,D643)</f>
        <v>0</v>
      </c>
      <c r="P643" s="151">
        <f>+IF(OR($Q643=Parametres!$G$2,$Q643=Parametres!$G$3),K643,E643)</f>
        <v>0</v>
      </c>
      <c r="Q643" s="150">
        <f t="shared" si="52"/>
        <v>0</v>
      </c>
      <c r="R643" s="149">
        <f t="shared" si="53"/>
        <v>0</v>
      </c>
      <c r="S643" s="150">
        <f t="shared" si="54"/>
        <v>0</v>
      </c>
      <c r="T643" s="152" t="e">
        <f>+VLOOKUP($L643,Data_Validation!$A:$D,1,0)</f>
        <v>#N/A</v>
      </c>
      <c r="U643" s="152" t="e">
        <f>+VLOOKUP($L643,Data_Validation!$A:$D,3,0)</f>
        <v>#N/A</v>
      </c>
      <c r="V643" s="152" t="e">
        <f>+VLOOKUP($L643,Data_Validation!$A:$D,4,0)</f>
        <v>#N/A</v>
      </c>
      <c r="W643" s="152" t="e">
        <f>+VLOOKUP($L643,Data_Validation!$A:$E,5,0)</f>
        <v>#N/A</v>
      </c>
      <c r="X643" s="152" t="e">
        <f>+VLOOKUP($L643,Data_Validation!$A:$F,6,0)</f>
        <v>#N/A</v>
      </c>
    </row>
    <row r="644" spans="1:24" ht="15.75" customHeight="1">
      <c r="A644" s="662"/>
      <c r="B644" s="662"/>
      <c r="C644" s="663"/>
      <c r="D644" s="663"/>
      <c r="E644" s="663"/>
      <c r="F644" s="662"/>
      <c r="G644" s="662"/>
      <c r="H644" s="657"/>
      <c r="I644" s="656"/>
      <c r="J644" s="656"/>
      <c r="K644" s="656"/>
      <c r="L644" s="149">
        <f t="shared" si="50"/>
        <v>0</v>
      </c>
      <c r="M644" s="150">
        <f t="shared" si="51"/>
        <v>0</v>
      </c>
      <c r="N644" s="151">
        <f>+IF(OR($Q644=Parametres!$G$2,$Q644=Parametres!$G$3),I644,C644)</f>
        <v>0</v>
      </c>
      <c r="O644" s="151">
        <f>+IF(OR($Q644=Parametres!$G$2,$Q644=Parametres!$G$3),J644,D644)</f>
        <v>0</v>
      </c>
      <c r="P644" s="151">
        <f>+IF(OR($Q644=Parametres!$G$2,$Q644=Parametres!$G$3),K644,E644)</f>
        <v>0</v>
      </c>
      <c r="Q644" s="150">
        <f t="shared" si="52"/>
        <v>0</v>
      </c>
      <c r="R644" s="149">
        <f t="shared" si="53"/>
        <v>0</v>
      </c>
      <c r="S644" s="150">
        <f t="shared" si="54"/>
        <v>0</v>
      </c>
      <c r="T644" s="152" t="e">
        <f>+VLOOKUP($L644,Data_Validation!$A:$D,1,0)</f>
        <v>#N/A</v>
      </c>
      <c r="U644" s="152" t="e">
        <f>+VLOOKUP($L644,Data_Validation!$A:$D,3,0)</f>
        <v>#N/A</v>
      </c>
      <c r="V644" s="152" t="e">
        <f>+VLOOKUP($L644,Data_Validation!$A:$D,4,0)</f>
        <v>#N/A</v>
      </c>
      <c r="W644" s="152" t="e">
        <f>+VLOOKUP($L644,Data_Validation!$A:$E,5,0)</f>
        <v>#N/A</v>
      </c>
      <c r="X644" s="152" t="e">
        <f>+VLOOKUP($L644,Data_Validation!$A:$F,6,0)</f>
        <v>#N/A</v>
      </c>
    </row>
    <row r="645" spans="1:24" ht="15.75" customHeight="1">
      <c r="A645" s="662"/>
      <c r="B645" s="662"/>
      <c r="C645" s="663"/>
      <c r="D645" s="663"/>
      <c r="E645" s="663"/>
      <c r="F645" s="662"/>
      <c r="G645" s="662"/>
      <c r="H645" s="657"/>
      <c r="I645" s="656"/>
      <c r="J645" s="656"/>
      <c r="K645" s="656"/>
      <c r="L645" s="149">
        <f t="shared" si="50"/>
        <v>0</v>
      </c>
      <c r="M645" s="150">
        <f t="shared" si="51"/>
        <v>0</v>
      </c>
      <c r="N645" s="151">
        <f>+IF(OR($Q645=Parametres!$G$2,$Q645=Parametres!$G$3),I645,C645)</f>
        <v>0</v>
      </c>
      <c r="O645" s="151">
        <f>+IF(OR($Q645=Parametres!$G$2,$Q645=Parametres!$G$3),J645,D645)</f>
        <v>0</v>
      </c>
      <c r="P645" s="151">
        <f>+IF(OR($Q645=Parametres!$G$2,$Q645=Parametres!$G$3),K645,E645)</f>
        <v>0</v>
      </c>
      <c r="Q645" s="150">
        <f t="shared" si="52"/>
        <v>0</v>
      </c>
      <c r="R645" s="149">
        <f t="shared" si="53"/>
        <v>0</v>
      </c>
      <c r="S645" s="150">
        <f t="shared" si="54"/>
        <v>0</v>
      </c>
      <c r="T645" s="152" t="e">
        <f>+VLOOKUP($L645,Data_Validation!$A:$D,1,0)</f>
        <v>#N/A</v>
      </c>
      <c r="U645" s="152" t="e">
        <f>+VLOOKUP($L645,Data_Validation!$A:$D,3,0)</f>
        <v>#N/A</v>
      </c>
      <c r="V645" s="152" t="e">
        <f>+VLOOKUP($L645,Data_Validation!$A:$D,4,0)</f>
        <v>#N/A</v>
      </c>
      <c r="W645" s="152" t="e">
        <f>+VLOOKUP($L645,Data_Validation!$A:$E,5,0)</f>
        <v>#N/A</v>
      </c>
      <c r="X645" s="152" t="e">
        <f>+VLOOKUP($L645,Data_Validation!$A:$F,6,0)</f>
        <v>#N/A</v>
      </c>
    </row>
    <row r="646" spans="1:24" ht="15.75" customHeight="1">
      <c r="A646" s="662"/>
      <c r="B646" s="662"/>
      <c r="C646" s="663"/>
      <c r="D646" s="663"/>
      <c r="E646" s="663"/>
      <c r="F646" s="662"/>
      <c r="G646" s="662"/>
      <c r="H646" s="657"/>
      <c r="I646" s="656"/>
      <c r="J646" s="656"/>
      <c r="K646" s="656"/>
      <c r="L646" s="149">
        <f t="shared" si="50"/>
        <v>0</v>
      </c>
      <c r="M646" s="150">
        <f t="shared" si="51"/>
        <v>0</v>
      </c>
      <c r="N646" s="151">
        <f>+IF(OR($Q646=Parametres!$G$2,$Q646=Parametres!$G$3),I646,C646)</f>
        <v>0</v>
      </c>
      <c r="O646" s="151">
        <f>+IF(OR($Q646=Parametres!$G$2,$Q646=Parametres!$G$3),J646,D646)</f>
        <v>0</v>
      </c>
      <c r="P646" s="151">
        <f>+IF(OR($Q646=Parametres!$G$2,$Q646=Parametres!$G$3),K646,E646)</f>
        <v>0</v>
      </c>
      <c r="Q646" s="150">
        <f t="shared" si="52"/>
        <v>0</v>
      </c>
      <c r="R646" s="149">
        <f t="shared" si="53"/>
        <v>0</v>
      </c>
      <c r="S646" s="150">
        <f t="shared" si="54"/>
        <v>0</v>
      </c>
      <c r="T646" s="152" t="e">
        <f>+VLOOKUP($L646,Data_Validation!$A:$D,1,0)</f>
        <v>#N/A</v>
      </c>
      <c r="U646" s="152" t="e">
        <f>+VLOOKUP($L646,Data_Validation!$A:$D,3,0)</f>
        <v>#N/A</v>
      </c>
      <c r="V646" s="152" t="e">
        <f>+VLOOKUP($L646,Data_Validation!$A:$D,4,0)</f>
        <v>#N/A</v>
      </c>
      <c r="W646" s="152" t="e">
        <f>+VLOOKUP($L646,Data_Validation!$A:$E,5,0)</f>
        <v>#N/A</v>
      </c>
      <c r="X646" s="152" t="e">
        <f>+VLOOKUP($L646,Data_Validation!$A:$F,6,0)</f>
        <v>#N/A</v>
      </c>
    </row>
    <row r="647" spans="1:24" ht="15.75" customHeight="1">
      <c r="A647" s="662"/>
      <c r="B647" s="662"/>
      <c r="C647" s="663"/>
      <c r="D647" s="663"/>
      <c r="E647" s="663"/>
      <c r="F647" s="662"/>
      <c r="G647" s="662"/>
      <c r="H647" s="657"/>
      <c r="I647" s="656"/>
      <c r="J647" s="656"/>
      <c r="K647" s="656"/>
      <c r="L647" s="149">
        <f t="shared" si="50"/>
        <v>0</v>
      </c>
      <c r="M647" s="150">
        <f t="shared" si="51"/>
        <v>0</v>
      </c>
      <c r="N647" s="151">
        <f>+IF(OR($Q647=Parametres!$G$2,$Q647=Parametres!$G$3),I647,C647)</f>
        <v>0</v>
      </c>
      <c r="O647" s="151">
        <f>+IF(OR($Q647=Parametres!$G$2,$Q647=Parametres!$G$3),J647,D647)</f>
        <v>0</v>
      </c>
      <c r="P647" s="151">
        <f>+IF(OR($Q647=Parametres!$G$2,$Q647=Parametres!$G$3),K647,E647)</f>
        <v>0</v>
      </c>
      <c r="Q647" s="150">
        <f t="shared" si="52"/>
        <v>0</v>
      </c>
      <c r="R647" s="149">
        <f t="shared" si="53"/>
        <v>0</v>
      </c>
      <c r="S647" s="150">
        <f t="shared" si="54"/>
        <v>0</v>
      </c>
      <c r="T647" s="152" t="e">
        <f>+VLOOKUP($L647,Data_Validation!$A:$D,1,0)</f>
        <v>#N/A</v>
      </c>
      <c r="U647" s="152" t="e">
        <f>+VLOOKUP($L647,Data_Validation!$A:$D,3,0)</f>
        <v>#N/A</v>
      </c>
      <c r="V647" s="152" t="e">
        <f>+VLOOKUP($L647,Data_Validation!$A:$D,4,0)</f>
        <v>#N/A</v>
      </c>
      <c r="W647" s="152" t="e">
        <f>+VLOOKUP($L647,Data_Validation!$A:$E,5,0)</f>
        <v>#N/A</v>
      </c>
      <c r="X647" s="152" t="e">
        <f>+VLOOKUP($L647,Data_Validation!$A:$F,6,0)</f>
        <v>#N/A</v>
      </c>
    </row>
    <row r="648" spans="1:24" ht="15.75" customHeight="1">
      <c r="A648" s="662"/>
      <c r="B648" s="662"/>
      <c r="C648" s="663"/>
      <c r="D648" s="663"/>
      <c r="E648" s="663"/>
      <c r="F648" s="662"/>
      <c r="G648" s="662"/>
      <c r="H648" s="657"/>
      <c r="I648" s="656"/>
      <c r="J648" s="656"/>
      <c r="K648" s="656"/>
      <c r="L648" s="149">
        <f t="shared" si="50"/>
        <v>0</v>
      </c>
      <c r="M648" s="150">
        <f t="shared" si="51"/>
        <v>0</v>
      </c>
      <c r="N648" s="151">
        <f>+IF(OR($Q648=Parametres!$G$2,$Q648=Parametres!$G$3),I648,C648)</f>
        <v>0</v>
      </c>
      <c r="O648" s="151">
        <f>+IF(OR($Q648=Parametres!$G$2,$Q648=Parametres!$G$3),J648,D648)</f>
        <v>0</v>
      </c>
      <c r="P648" s="151">
        <f>+IF(OR($Q648=Parametres!$G$2,$Q648=Parametres!$G$3),K648,E648)</f>
        <v>0</v>
      </c>
      <c r="Q648" s="150">
        <f t="shared" si="52"/>
        <v>0</v>
      </c>
      <c r="R648" s="149">
        <f t="shared" si="53"/>
        <v>0</v>
      </c>
      <c r="S648" s="150">
        <f t="shared" si="54"/>
        <v>0</v>
      </c>
      <c r="T648" s="152" t="e">
        <f>+VLOOKUP($L648,Data_Validation!$A:$D,1,0)</f>
        <v>#N/A</v>
      </c>
      <c r="U648" s="152" t="e">
        <f>+VLOOKUP($L648,Data_Validation!$A:$D,3,0)</f>
        <v>#N/A</v>
      </c>
      <c r="V648" s="152" t="e">
        <f>+VLOOKUP($L648,Data_Validation!$A:$D,4,0)</f>
        <v>#N/A</v>
      </c>
      <c r="W648" s="152" t="e">
        <f>+VLOOKUP($L648,Data_Validation!$A:$E,5,0)</f>
        <v>#N/A</v>
      </c>
      <c r="X648" s="152" t="e">
        <f>+VLOOKUP($L648,Data_Validation!$A:$F,6,0)</f>
        <v>#N/A</v>
      </c>
    </row>
    <row r="649" spans="1:24" ht="15.75" customHeight="1">
      <c r="A649" s="662"/>
      <c r="B649" s="662"/>
      <c r="C649" s="663"/>
      <c r="D649" s="663"/>
      <c r="E649" s="663"/>
      <c r="F649" s="662"/>
      <c r="G649" s="662"/>
      <c r="H649" s="657"/>
      <c r="I649" s="656"/>
      <c r="J649" s="656"/>
      <c r="K649" s="656"/>
      <c r="L649" s="149">
        <f t="shared" si="50"/>
        <v>0</v>
      </c>
      <c r="M649" s="150">
        <f t="shared" si="51"/>
        <v>0</v>
      </c>
      <c r="N649" s="151">
        <f>+IF(OR($Q649=Parametres!$G$2,$Q649=Parametres!$G$3),I649,C649)</f>
        <v>0</v>
      </c>
      <c r="O649" s="472">
        <f>+IF(OR($Q649=Parametres!$G$2,$Q649=Parametres!$G$3),J649,D649)</f>
        <v>0</v>
      </c>
      <c r="P649" s="151">
        <f>+IF(OR($Q649=Parametres!$G$2,$Q649=Parametres!$G$3),K649,E649)</f>
        <v>0</v>
      </c>
      <c r="Q649" s="150">
        <f t="shared" si="52"/>
        <v>0</v>
      </c>
      <c r="R649" s="149">
        <f t="shared" si="53"/>
        <v>0</v>
      </c>
      <c r="S649" s="150">
        <f t="shared" si="54"/>
        <v>0</v>
      </c>
      <c r="T649" s="152" t="e">
        <f>+VLOOKUP($L649,Data_Validation!$A:$D,1,0)</f>
        <v>#N/A</v>
      </c>
      <c r="U649" s="152" t="e">
        <f>+VLOOKUP($L649,Data_Validation!$A:$D,3,0)</f>
        <v>#N/A</v>
      </c>
      <c r="V649" s="152" t="e">
        <f>+VLOOKUP($L649,Data_Validation!$A:$D,4,0)</f>
        <v>#N/A</v>
      </c>
      <c r="W649" s="152" t="e">
        <f>+VLOOKUP($L649,Data_Validation!$A:$E,5,0)</f>
        <v>#N/A</v>
      </c>
      <c r="X649" s="152" t="e">
        <f>+VLOOKUP($L649,Data_Validation!$A:$F,6,0)</f>
        <v>#N/A</v>
      </c>
    </row>
    <row r="650" spans="1:24" ht="15.75" customHeight="1">
      <c r="A650" s="662"/>
      <c r="B650" s="662"/>
      <c r="C650" s="663"/>
      <c r="D650" s="663"/>
      <c r="E650" s="663"/>
      <c r="F650" s="662"/>
      <c r="G650" s="662"/>
      <c r="H650" s="657"/>
      <c r="I650" s="656"/>
      <c r="J650" s="656"/>
      <c r="K650" s="656"/>
      <c r="L650" s="149">
        <f t="shared" si="50"/>
        <v>0</v>
      </c>
      <c r="M650" s="150">
        <f t="shared" si="51"/>
        <v>0</v>
      </c>
      <c r="N650" s="151">
        <f>+IF(OR($Q650=Parametres!$G$2,$Q650=Parametres!$G$3),I650,C650)</f>
        <v>0</v>
      </c>
      <c r="O650" s="151">
        <f>+IF(OR($Q650=Parametres!$G$2,$Q650=Parametres!$G$3),J650,D650)</f>
        <v>0</v>
      </c>
      <c r="P650" s="151">
        <f>+IF(OR($Q650=Parametres!$G$2,$Q650=Parametres!$G$3),K650,E650)</f>
        <v>0</v>
      </c>
      <c r="Q650" s="150">
        <f t="shared" si="52"/>
        <v>0</v>
      </c>
      <c r="R650" s="149">
        <f t="shared" si="53"/>
        <v>0</v>
      </c>
      <c r="S650" s="150">
        <f t="shared" si="54"/>
        <v>0</v>
      </c>
      <c r="T650" s="152" t="e">
        <f>+VLOOKUP($L650,Data_Validation!$A:$D,1,0)</f>
        <v>#N/A</v>
      </c>
      <c r="U650" s="152" t="e">
        <f>+VLOOKUP($L650,Data_Validation!$A:$D,3,0)</f>
        <v>#N/A</v>
      </c>
      <c r="V650" s="152" t="e">
        <f>+VLOOKUP($L650,Data_Validation!$A:$D,4,0)</f>
        <v>#N/A</v>
      </c>
      <c r="W650" s="152" t="e">
        <f>+VLOOKUP($L650,Data_Validation!$A:$E,5,0)</f>
        <v>#N/A</v>
      </c>
      <c r="X650" s="152" t="e">
        <f>+VLOOKUP($L650,Data_Validation!$A:$F,6,0)</f>
        <v>#N/A</v>
      </c>
    </row>
    <row r="651" spans="1:24" ht="15.75" customHeight="1">
      <c r="A651" s="662"/>
      <c r="B651" s="662"/>
      <c r="C651" s="663"/>
      <c r="D651" s="663"/>
      <c r="E651" s="663"/>
      <c r="F651" s="662"/>
      <c r="G651" s="662"/>
      <c r="H651" s="657"/>
      <c r="I651" s="656"/>
      <c r="J651" s="656"/>
      <c r="K651" s="656"/>
      <c r="L651" s="149">
        <f t="shared" si="50"/>
        <v>0</v>
      </c>
      <c r="M651" s="150">
        <f t="shared" si="51"/>
        <v>0</v>
      </c>
      <c r="N651" s="151">
        <f>+IF(OR($Q651=Parametres!$G$2,$Q651=Parametres!$G$3),I651,C651)</f>
        <v>0</v>
      </c>
      <c r="O651" s="472">
        <f>+IF(OR($Q651=Parametres!$G$2,$Q651=Parametres!$G$3),J651,D651)</f>
        <v>0</v>
      </c>
      <c r="P651" s="151">
        <f>+IF(OR($Q651=Parametres!$G$2,$Q651=Parametres!$G$3),K651,E651)</f>
        <v>0</v>
      </c>
      <c r="Q651" s="150">
        <f t="shared" si="52"/>
        <v>0</v>
      </c>
      <c r="R651" s="149">
        <f t="shared" si="53"/>
        <v>0</v>
      </c>
      <c r="S651" s="150">
        <f t="shared" si="54"/>
        <v>0</v>
      </c>
      <c r="T651" s="152" t="e">
        <f>+VLOOKUP($L651,Data_Validation!$A:$D,1,0)</f>
        <v>#N/A</v>
      </c>
      <c r="U651" s="152" t="e">
        <f>+VLOOKUP($L651,Data_Validation!$A:$D,3,0)</f>
        <v>#N/A</v>
      </c>
      <c r="V651" s="152" t="e">
        <f>+VLOOKUP($L651,Data_Validation!$A:$D,4,0)</f>
        <v>#N/A</v>
      </c>
      <c r="W651" s="152" t="e">
        <f>+VLOOKUP($L651,Data_Validation!$A:$E,5,0)</f>
        <v>#N/A</v>
      </c>
      <c r="X651" s="152" t="e">
        <f>+VLOOKUP($L651,Data_Validation!$A:$F,6,0)</f>
        <v>#N/A</v>
      </c>
    </row>
    <row r="652" spans="1:24" ht="15.75" customHeight="1">
      <c r="A652" s="662"/>
      <c r="B652" s="662"/>
      <c r="C652" s="663"/>
      <c r="D652" s="663"/>
      <c r="E652" s="663"/>
      <c r="F652" s="662"/>
      <c r="G652" s="662"/>
      <c r="H652" s="657"/>
      <c r="I652" s="656"/>
      <c r="J652" s="656"/>
      <c r="K652" s="656"/>
      <c r="L652" s="149">
        <f t="shared" si="50"/>
        <v>0</v>
      </c>
      <c r="M652" s="150">
        <f t="shared" si="51"/>
        <v>0</v>
      </c>
      <c r="N652" s="151">
        <f>+IF(OR($Q652=Parametres!$G$2,$Q652=Parametres!$G$3),I652,C652)</f>
        <v>0</v>
      </c>
      <c r="O652" s="151">
        <f>+IF(OR($Q652=Parametres!$G$2,$Q652=Parametres!$G$3),J652,D652)</f>
        <v>0</v>
      </c>
      <c r="P652" s="151">
        <f>+IF(OR($Q652=Parametres!$G$2,$Q652=Parametres!$G$3),K652,E652)</f>
        <v>0</v>
      </c>
      <c r="Q652" s="150">
        <f t="shared" si="52"/>
        <v>0</v>
      </c>
      <c r="R652" s="149">
        <f t="shared" si="53"/>
        <v>0</v>
      </c>
      <c r="S652" s="150">
        <f t="shared" si="54"/>
        <v>0</v>
      </c>
      <c r="T652" s="152" t="e">
        <f>+VLOOKUP($L652,Data_Validation!$A:$D,1,0)</f>
        <v>#N/A</v>
      </c>
      <c r="U652" s="152" t="e">
        <f>+VLOOKUP($L652,Data_Validation!$A:$D,3,0)</f>
        <v>#N/A</v>
      </c>
      <c r="V652" s="152" t="e">
        <f>+VLOOKUP($L652,Data_Validation!$A:$D,4,0)</f>
        <v>#N/A</v>
      </c>
      <c r="W652" s="152" t="e">
        <f>+VLOOKUP($L652,Data_Validation!$A:$E,5,0)</f>
        <v>#N/A</v>
      </c>
      <c r="X652" s="152" t="e">
        <f>+VLOOKUP($L652,Data_Validation!$A:$F,6,0)</f>
        <v>#N/A</v>
      </c>
    </row>
    <row r="653" spans="1:24" ht="15.75" customHeight="1">
      <c r="A653" s="662"/>
      <c r="B653" s="662"/>
      <c r="C653" s="663"/>
      <c r="D653" s="663"/>
      <c r="E653" s="663"/>
      <c r="F653" s="662"/>
      <c r="G653" s="662"/>
      <c r="H653" s="657"/>
      <c r="I653" s="656"/>
      <c r="J653" s="656"/>
      <c r="K653" s="656"/>
      <c r="L653" s="149">
        <f t="shared" si="50"/>
        <v>0</v>
      </c>
      <c r="M653" s="150">
        <f t="shared" si="51"/>
        <v>0</v>
      </c>
      <c r="N653" s="151">
        <f>+IF(OR($Q653=Parametres!$G$2,$Q653=Parametres!$G$3),I653,C653)</f>
        <v>0</v>
      </c>
      <c r="O653" s="472">
        <f>+IF(OR($Q653=Parametres!$G$2,$Q653=Parametres!$G$3),J653,D653)</f>
        <v>0</v>
      </c>
      <c r="P653" s="151">
        <f>+IF(OR($Q653=Parametres!$G$2,$Q653=Parametres!$G$3),K653,E653)</f>
        <v>0</v>
      </c>
      <c r="Q653" s="150">
        <f t="shared" si="52"/>
        <v>0</v>
      </c>
      <c r="R653" s="149">
        <f t="shared" si="53"/>
        <v>0</v>
      </c>
      <c r="S653" s="150">
        <f t="shared" si="54"/>
        <v>0</v>
      </c>
      <c r="T653" s="152" t="e">
        <f>+VLOOKUP($L653,Data_Validation!$A:$D,1,0)</f>
        <v>#N/A</v>
      </c>
      <c r="U653" s="152" t="e">
        <f>+VLOOKUP($L653,Data_Validation!$A:$D,3,0)</f>
        <v>#N/A</v>
      </c>
      <c r="V653" s="152" t="e">
        <f>+VLOOKUP($L653,Data_Validation!$A:$D,4,0)</f>
        <v>#N/A</v>
      </c>
      <c r="W653" s="152" t="e">
        <f>+VLOOKUP($L653,Data_Validation!$A:$E,5,0)</f>
        <v>#N/A</v>
      </c>
      <c r="X653" s="152" t="e">
        <f>+VLOOKUP($L653,Data_Validation!$A:$F,6,0)</f>
        <v>#N/A</v>
      </c>
    </row>
    <row r="654" spans="1:24" ht="15.75" customHeight="1">
      <c r="A654" s="662"/>
      <c r="B654" s="662"/>
      <c r="C654" s="663"/>
      <c r="D654" s="663"/>
      <c r="E654" s="663"/>
      <c r="F654" s="662"/>
      <c r="G654" s="662"/>
      <c r="H654" s="657"/>
      <c r="I654" s="656"/>
      <c r="J654" s="656"/>
      <c r="K654" s="656"/>
      <c r="L654" s="149">
        <f t="shared" si="50"/>
        <v>0</v>
      </c>
      <c r="M654" s="150">
        <f t="shared" si="51"/>
        <v>0</v>
      </c>
      <c r="N654" s="151">
        <f>+IF(OR($Q654=Parametres!$G$2,$Q654=Parametres!$G$3),I654,C654)</f>
        <v>0</v>
      </c>
      <c r="O654" s="151">
        <f>+IF(OR($Q654=Parametres!$G$2,$Q654=Parametres!$G$3),J654,D654)</f>
        <v>0</v>
      </c>
      <c r="P654" s="151">
        <f>+IF(OR($Q654=Parametres!$G$2,$Q654=Parametres!$G$3),K654,E654)</f>
        <v>0</v>
      </c>
      <c r="Q654" s="150">
        <f t="shared" si="52"/>
        <v>0</v>
      </c>
      <c r="R654" s="149">
        <f t="shared" si="53"/>
        <v>0</v>
      </c>
      <c r="S654" s="150">
        <f t="shared" si="54"/>
        <v>0</v>
      </c>
      <c r="T654" s="152" t="e">
        <f>+VLOOKUP($L654,Data_Validation!$A:$D,1,0)</f>
        <v>#N/A</v>
      </c>
      <c r="U654" s="152" t="e">
        <f>+VLOOKUP($L654,Data_Validation!$A:$D,3,0)</f>
        <v>#N/A</v>
      </c>
      <c r="V654" s="152" t="e">
        <f>+VLOOKUP($L654,Data_Validation!$A:$D,4,0)</f>
        <v>#N/A</v>
      </c>
      <c r="W654" s="152" t="e">
        <f>+VLOOKUP($L654,Data_Validation!$A:$E,5,0)</f>
        <v>#N/A</v>
      </c>
      <c r="X654" s="152" t="e">
        <f>+VLOOKUP($L654,Data_Validation!$A:$F,6,0)</f>
        <v>#N/A</v>
      </c>
    </row>
    <row r="655" spans="1:24" ht="15.75" customHeight="1">
      <c r="A655" s="662"/>
      <c r="B655" s="662"/>
      <c r="C655" s="663"/>
      <c r="D655" s="663"/>
      <c r="E655" s="663"/>
      <c r="F655" s="662"/>
      <c r="G655" s="662"/>
      <c r="H655" s="657"/>
      <c r="I655" s="656"/>
      <c r="J655" s="656"/>
      <c r="K655" s="656"/>
      <c r="L655" s="149">
        <f t="shared" si="50"/>
        <v>0</v>
      </c>
      <c r="M655" s="150">
        <f t="shared" si="51"/>
        <v>0</v>
      </c>
      <c r="N655" s="151">
        <f>+IF(OR($Q655=Parametres!$G$2,$Q655=Parametres!$G$3),I655,C655)</f>
        <v>0</v>
      </c>
      <c r="O655" s="472">
        <f>+IF(OR($Q655=Parametres!$G$2,$Q655=Parametres!$G$3),J655,D655)</f>
        <v>0</v>
      </c>
      <c r="P655" s="151">
        <f>+IF(OR($Q655=Parametres!$G$2,$Q655=Parametres!$G$3),K655,E655)</f>
        <v>0</v>
      </c>
      <c r="Q655" s="150">
        <f t="shared" si="52"/>
        <v>0</v>
      </c>
      <c r="R655" s="149">
        <f t="shared" si="53"/>
        <v>0</v>
      </c>
      <c r="S655" s="150">
        <f t="shared" si="54"/>
        <v>0</v>
      </c>
      <c r="T655" s="152" t="e">
        <f>+VLOOKUP($L655,Data_Validation!$A:$D,1,0)</f>
        <v>#N/A</v>
      </c>
      <c r="U655" s="152" t="e">
        <f>+VLOOKUP($L655,Data_Validation!$A:$D,3,0)</f>
        <v>#N/A</v>
      </c>
      <c r="V655" s="152" t="e">
        <f>+VLOOKUP($L655,Data_Validation!$A:$D,4,0)</f>
        <v>#N/A</v>
      </c>
      <c r="W655" s="152" t="e">
        <f>+VLOOKUP($L655,Data_Validation!$A:$E,5,0)</f>
        <v>#N/A</v>
      </c>
      <c r="X655" s="152" t="e">
        <f>+VLOOKUP($L655,Data_Validation!$A:$F,6,0)</f>
        <v>#N/A</v>
      </c>
    </row>
    <row r="656" spans="1:24" ht="15.75" customHeight="1">
      <c r="A656" s="662"/>
      <c r="B656" s="662"/>
      <c r="C656" s="663"/>
      <c r="D656" s="663"/>
      <c r="E656" s="663"/>
      <c r="F656" s="662"/>
      <c r="G656" s="662"/>
      <c r="H656" s="657"/>
      <c r="I656" s="656"/>
      <c r="J656" s="656"/>
      <c r="K656" s="656"/>
      <c r="L656" s="149">
        <f t="shared" si="50"/>
        <v>0</v>
      </c>
      <c r="M656" s="150">
        <f t="shared" si="51"/>
        <v>0</v>
      </c>
      <c r="N656" s="151">
        <f>+IF(OR($Q656=Parametres!$G$2,$Q656=Parametres!$G$3),I656,C656)</f>
        <v>0</v>
      </c>
      <c r="O656" s="472">
        <f>+IF(OR($Q656=Parametres!$G$2,$Q656=Parametres!$G$3),J656,D656)</f>
        <v>0</v>
      </c>
      <c r="P656" s="151">
        <f>+IF(OR($Q656=Parametres!$G$2,$Q656=Parametres!$G$3),K656,E656)</f>
        <v>0</v>
      </c>
      <c r="Q656" s="150">
        <f t="shared" si="52"/>
        <v>0</v>
      </c>
      <c r="R656" s="149">
        <f t="shared" si="53"/>
        <v>0</v>
      </c>
      <c r="S656" s="150">
        <f t="shared" si="54"/>
        <v>0</v>
      </c>
      <c r="T656" s="152" t="e">
        <f>+VLOOKUP($L656,Data_Validation!$A:$D,1,0)</f>
        <v>#N/A</v>
      </c>
      <c r="U656" s="152" t="e">
        <f>+VLOOKUP($L656,Data_Validation!$A:$D,3,0)</f>
        <v>#N/A</v>
      </c>
      <c r="V656" s="152" t="e">
        <f>+VLOOKUP($L656,Data_Validation!$A:$D,4,0)</f>
        <v>#N/A</v>
      </c>
      <c r="W656" s="152" t="e">
        <f>+VLOOKUP($L656,Data_Validation!$A:$E,5,0)</f>
        <v>#N/A</v>
      </c>
      <c r="X656" s="152" t="e">
        <f>+VLOOKUP($L656,Data_Validation!$A:$F,6,0)</f>
        <v>#N/A</v>
      </c>
    </row>
    <row r="657" spans="1:24" ht="15.75" customHeight="1">
      <c r="A657" s="662"/>
      <c r="B657" s="662"/>
      <c r="C657" s="663"/>
      <c r="D657" s="663"/>
      <c r="E657" s="663"/>
      <c r="F657" s="662"/>
      <c r="G657" s="662"/>
      <c r="H657" s="657"/>
      <c r="I657" s="656"/>
      <c r="J657" s="656"/>
      <c r="K657" s="656"/>
      <c r="L657" s="149">
        <f t="shared" si="50"/>
        <v>0</v>
      </c>
      <c r="M657" s="150">
        <f t="shared" si="51"/>
        <v>0</v>
      </c>
      <c r="N657" s="151">
        <f>+IF(OR($Q657=Parametres!$G$2,$Q657=Parametres!$G$3),I657,C657)</f>
        <v>0</v>
      </c>
      <c r="O657" s="472">
        <f>+IF(OR($Q657=Parametres!$G$2,$Q657=Parametres!$G$3),J657,D657)</f>
        <v>0</v>
      </c>
      <c r="P657" s="151">
        <f>+IF(OR($Q657=Parametres!$G$2,$Q657=Parametres!$G$3),K657,E657)</f>
        <v>0</v>
      </c>
      <c r="Q657" s="150">
        <f t="shared" si="52"/>
        <v>0</v>
      </c>
      <c r="R657" s="149">
        <f t="shared" si="53"/>
        <v>0</v>
      </c>
      <c r="S657" s="150">
        <f t="shared" si="54"/>
        <v>0</v>
      </c>
      <c r="T657" s="152" t="e">
        <f>+VLOOKUP($L657,Data_Validation!$A:$D,1,0)</f>
        <v>#N/A</v>
      </c>
      <c r="U657" s="152" t="e">
        <f>+VLOOKUP($L657,Data_Validation!$A:$D,3,0)</f>
        <v>#N/A</v>
      </c>
      <c r="V657" s="152" t="e">
        <f>+VLOOKUP($L657,Data_Validation!$A:$D,4,0)</f>
        <v>#N/A</v>
      </c>
      <c r="W657" s="152" t="e">
        <f>+VLOOKUP($L657,Data_Validation!$A:$E,5,0)</f>
        <v>#N/A</v>
      </c>
      <c r="X657" s="152" t="e">
        <f>+VLOOKUP($L657,Data_Validation!$A:$F,6,0)</f>
        <v>#N/A</v>
      </c>
    </row>
    <row r="658" spans="1:24" ht="15.75" customHeight="1">
      <c r="A658" s="662"/>
      <c r="B658" s="662"/>
      <c r="C658" s="663"/>
      <c r="D658" s="663"/>
      <c r="E658" s="663"/>
      <c r="F658" s="662"/>
      <c r="G658" s="662"/>
      <c r="H658" s="657"/>
      <c r="I658" s="656"/>
      <c r="J658" s="656"/>
      <c r="K658" s="656"/>
      <c r="L658" s="149">
        <f t="shared" si="50"/>
        <v>0</v>
      </c>
      <c r="M658" s="150">
        <f t="shared" si="51"/>
        <v>0</v>
      </c>
      <c r="N658" s="151">
        <f>+IF(OR($Q658=Parametres!$G$2,$Q658=Parametres!$G$3),I658,C658)</f>
        <v>0</v>
      </c>
      <c r="O658" s="472">
        <f>+IF(OR($Q658=Parametres!$G$2,$Q658=Parametres!$G$3),J658,D658)</f>
        <v>0</v>
      </c>
      <c r="P658" s="151">
        <f>+IF(OR($Q658=Parametres!$G$2,$Q658=Parametres!$G$3),K658,E658)</f>
        <v>0</v>
      </c>
      <c r="Q658" s="150">
        <f t="shared" si="52"/>
        <v>0</v>
      </c>
      <c r="R658" s="149">
        <f t="shared" si="53"/>
        <v>0</v>
      </c>
      <c r="S658" s="150">
        <f t="shared" si="54"/>
        <v>0</v>
      </c>
      <c r="T658" s="152" t="e">
        <f>+VLOOKUP($L658,Data_Validation!$A:$D,1,0)</f>
        <v>#N/A</v>
      </c>
      <c r="U658" s="152" t="e">
        <f>+VLOOKUP($L658,Data_Validation!$A:$D,3,0)</f>
        <v>#N/A</v>
      </c>
      <c r="V658" s="152" t="e">
        <f>+VLOOKUP($L658,Data_Validation!$A:$D,4,0)</f>
        <v>#N/A</v>
      </c>
      <c r="W658" s="152" t="e">
        <f>+VLOOKUP($L658,Data_Validation!$A:$E,5,0)</f>
        <v>#N/A</v>
      </c>
      <c r="X658" s="152" t="e">
        <f>+VLOOKUP($L658,Data_Validation!$A:$F,6,0)</f>
        <v>#N/A</v>
      </c>
    </row>
    <row r="659" spans="1:24" ht="15.75" customHeight="1">
      <c r="A659" s="662"/>
      <c r="B659" s="662"/>
      <c r="C659" s="663"/>
      <c r="D659" s="663"/>
      <c r="E659" s="663"/>
      <c r="F659" s="662"/>
      <c r="G659" s="662"/>
      <c r="H659" s="657"/>
      <c r="I659" s="656"/>
      <c r="J659" s="656"/>
      <c r="K659" s="656"/>
      <c r="L659" s="149">
        <f t="shared" si="50"/>
        <v>0</v>
      </c>
      <c r="M659" s="150">
        <f t="shared" si="51"/>
        <v>0</v>
      </c>
      <c r="N659" s="151">
        <f>+IF(OR($Q659=Parametres!$G$2,$Q659=Parametres!$G$3),I659,C659)</f>
        <v>0</v>
      </c>
      <c r="O659" s="151">
        <f>+IF(OR($Q659=Parametres!$G$2,$Q659=Parametres!$G$3),J659,D659)</f>
        <v>0</v>
      </c>
      <c r="P659" s="151">
        <f>+IF(OR($Q659=Parametres!$G$2,$Q659=Parametres!$G$3),K659,E659)</f>
        <v>0</v>
      </c>
      <c r="Q659" s="150">
        <f t="shared" si="52"/>
        <v>0</v>
      </c>
      <c r="R659" s="149">
        <f t="shared" si="53"/>
        <v>0</v>
      </c>
      <c r="S659" s="150">
        <f t="shared" si="54"/>
        <v>0</v>
      </c>
      <c r="T659" s="152" t="e">
        <f>+VLOOKUP($L659,Data_Validation!$A:$D,1,0)</f>
        <v>#N/A</v>
      </c>
      <c r="U659" s="152" t="e">
        <f>+VLOOKUP($L659,Data_Validation!$A:$D,3,0)</f>
        <v>#N/A</v>
      </c>
      <c r="V659" s="152" t="e">
        <f>+VLOOKUP($L659,Data_Validation!$A:$D,4,0)</f>
        <v>#N/A</v>
      </c>
      <c r="W659" s="152" t="e">
        <f>+VLOOKUP($L659,Data_Validation!$A:$E,5,0)</f>
        <v>#N/A</v>
      </c>
      <c r="X659" s="152" t="e">
        <f>+VLOOKUP($L659,Data_Validation!$A:$F,6,0)</f>
        <v>#N/A</v>
      </c>
    </row>
    <row r="660" spans="1:24" ht="15.75" customHeight="1">
      <c r="A660" s="662"/>
      <c r="B660" s="662"/>
      <c r="C660" s="663"/>
      <c r="D660" s="663"/>
      <c r="E660" s="663"/>
      <c r="F660" s="662"/>
      <c r="G660" s="662"/>
      <c r="H660" s="657"/>
      <c r="I660" s="656"/>
      <c r="J660" s="656"/>
      <c r="K660" s="656"/>
      <c r="L660" s="149">
        <f t="shared" si="50"/>
        <v>0</v>
      </c>
      <c r="M660" s="150">
        <f t="shared" si="51"/>
        <v>0</v>
      </c>
      <c r="N660" s="151">
        <f>+IF(OR($Q660=Parametres!$G$2,$Q660=Parametres!$G$3),I660,C660)</f>
        <v>0</v>
      </c>
      <c r="O660" s="151">
        <f>+IF(OR($Q660=Parametres!$G$2,$Q660=Parametres!$G$3),J660,D660)</f>
        <v>0</v>
      </c>
      <c r="P660" s="151">
        <f>+IF(OR($Q660=Parametres!$G$2,$Q660=Parametres!$G$3),K660,E660)</f>
        <v>0</v>
      </c>
      <c r="Q660" s="150">
        <f t="shared" si="52"/>
        <v>0</v>
      </c>
      <c r="R660" s="149">
        <f t="shared" si="53"/>
        <v>0</v>
      </c>
      <c r="S660" s="150">
        <f t="shared" si="54"/>
        <v>0</v>
      </c>
      <c r="T660" s="152" t="e">
        <f>+VLOOKUP($L660,Data_Validation!$A:$D,1,0)</f>
        <v>#N/A</v>
      </c>
      <c r="U660" s="152" t="e">
        <f>+VLOOKUP($L660,Data_Validation!$A:$D,3,0)</f>
        <v>#N/A</v>
      </c>
      <c r="V660" s="152" t="e">
        <f>+VLOOKUP($L660,Data_Validation!$A:$D,4,0)</f>
        <v>#N/A</v>
      </c>
      <c r="W660" s="152" t="e">
        <f>+VLOOKUP($L660,Data_Validation!$A:$E,5,0)</f>
        <v>#N/A</v>
      </c>
      <c r="X660" s="152" t="e">
        <f>+VLOOKUP($L660,Data_Validation!$A:$F,6,0)</f>
        <v>#N/A</v>
      </c>
    </row>
    <row r="661" spans="1:24" ht="15.75" customHeight="1">
      <c r="A661" s="662"/>
      <c r="B661" s="662"/>
      <c r="C661" s="663"/>
      <c r="D661" s="663"/>
      <c r="E661" s="663"/>
      <c r="F661" s="662"/>
      <c r="G661" s="662"/>
      <c r="H661" s="657"/>
      <c r="I661" s="656"/>
      <c r="J661" s="656"/>
      <c r="K661" s="656"/>
      <c r="L661" s="149">
        <f t="shared" si="50"/>
        <v>0</v>
      </c>
      <c r="M661" s="150">
        <f t="shared" si="51"/>
        <v>0</v>
      </c>
      <c r="N661" s="151">
        <f>+IF(OR($Q661=Parametres!$G$2,$Q661=Parametres!$G$3),I661,C661)</f>
        <v>0</v>
      </c>
      <c r="O661" s="151">
        <f>+IF(OR($Q661=Parametres!$G$2,$Q661=Parametres!$G$3),J661,D661)</f>
        <v>0</v>
      </c>
      <c r="P661" s="151">
        <f>+IF(OR($Q661=Parametres!$G$2,$Q661=Parametres!$G$3),K661,E661)</f>
        <v>0</v>
      </c>
      <c r="Q661" s="150">
        <f t="shared" si="52"/>
        <v>0</v>
      </c>
      <c r="R661" s="149">
        <f t="shared" si="53"/>
        <v>0</v>
      </c>
      <c r="S661" s="150">
        <f t="shared" si="54"/>
        <v>0</v>
      </c>
      <c r="T661" s="152" t="e">
        <f>+VLOOKUP($L661,Data_Validation!$A:$D,1,0)</f>
        <v>#N/A</v>
      </c>
      <c r="U661" s="152" t="e">
        <f>+VLOOKUP($L661,Data_Validation!$A:$D,3,0)</f>
        <v>#N/A</v>
      </c>
      <c r="V661" s="152" t="e">
        <f>+VLOOKUP($L661,Data_Validation!$A:$D,4,0)</f>
        <v>#N/A</v>
      </c>
      <c r="W661" s="152" t="e">
        <f>+VLOOKUP($L661,Data_Validation!$A:$E,5,0)</f>
        <v>#N/A</v>
      </c>
      <c r="X661" s="152" t="e">
        <f>+VLOOKUP($L661,Data_Validation!$A:$F,6,0)</f>
        <v>#N/A</v>
      </c>
    </row>
    <row r="662" spans="1:24" ht="15.75" customHeight="1">
      <c r="A662" s="662"/>
      <c r="B662" s="662"/>
      <c r="C662" s="663"/>
      <c r="D662" s="663"/>
      <c r="E662" s="663"/>
      <c r="F662" s="662"/>
      <c r="G662" s="662"/>
      <c r="H662" s="657"/>
      <c r="I662" s="656"/>
      <c r="J662" s="656"/>
      <c r="K662" s="656"/>
      <c r="L662" s="149">
        <f t="shared" si="50"/>
        <v>0</v>
      </c>
      <c r="M662" s="150">
        <f t="shared" si="51"/>
        <v>0</v>
      </c>
      <c r="N662" s="151">
        <f>+IF(OR($Q662=Parametres!$G$2,$Q662=Parametres!$G$3),I662,C662)</f>
        <v>0</v>
      </c>
      <c r="O662" s="494">
        <f>+IF(OR($Q662=Parametres!$G$2,$Q662=Parametres!$G$3),J662,D662)</f>
        <v>0</v>
      </c>
      <c r="P662" s="151">
        <f>+IF(OR($Q662=Parametres!$G$2,$Q662=Parametres!$G$3),K662,E662)</f>
        <v>0</v>
      </c>
      <c r="Q662" s="150">
        <f t="shared" si="52"/>
        <v>0</v>
      </c>
      <c r="R662" s="149">
        <f t="shared" si="53"/>
        <v>0</v>
      </c>
      <c r="S662" s="150">
        <f t="shared" si="54"/>
        <v>0</v>
      </c>
      <c r="T662" s="152" t="e">
        <f>+VLOOKUP($L662,Data_Validation!$A:$D,1,0)</f>
        <v>#N/A</v>
      </c>
      <c r="U662" s="152" t="e">
        <f>+VLOOKUP($L662,Data_Validation!$A:$D,3,0)</f>
        <v>#N/A</v>
      </c>
      <c r="V662" s="152" t="e">
        <f>+VLOOKUP($L662,Data_Validation!$A:$D,4,0)</f>
        <v>#N/A</v>
      </c>
      <c r="W662" s="152" t="e">
        <f>+VLOOKUP($L662,Data_Validation!$A:$E,5,0)</f>
        <v>#N/A</v>
      </c>
      <c r="X662" s="152" t="e">
        <f>+VLOOKUP($L662,Data_Validation!$A:$F,6,0)</f>
        <v>#N/A</v>
      </c>
    </row>
    <row r="663" spans="1:24" ht="15.75" customHeight="1">
      <c r="A663" s="662"/>
      <c r="B663" s="662"/>
      <c r="C663" s="663"/>
      <c r="D663" s="663"/>
      <c r="E663" s="663"/>
      <c r="F663" s="662"/>
      <c r="G663" s="662"/>
      <c r="H663" s="657"/>
      <c r="I663" s="656"/>
      <c r="J663" s="656"/>
      <c r="K663" s="656"/>
      <c r="L663" s="149">
        <f t="shared" si="50"/>
        <v>0</v>
      </c>
      <c r="M663" s="150">
        <f t="shared" si="51"/>
        <v>0</v>
      </c>
      <c r="N663" s="151">
        <f>+IF(OR($Q663=Parametres!$G$2,$Q663=Parametres!$G$3),I663,C663)</f>
        <v>0</v>
      </c>
      <c r="O663" s="151">
        <f>+IF(OR($Q663=Parametres!$G$2,$Q663=Parametres!$G$3),J663,D663)</f>
        <v>0</v>
      </c>
      <c r="P663" s="151">
        <f>+IF(OR($Q663=Parametres!$G$2,$Q663=Parametres!$G$3),K663,E663)</f>
        <v>0</v>
      </c>
      <c r="Q663" s="150">
        <f t="shared" si="52"/>
        <v>0</v>
      </c>
      <c r="R663" s="149">
        <f t="shared" si="53"/>
        <v>0</v>
      </c>
      <c r="S663" s="150">
        <f t="shared" si="54"/>
        <v>0</v>
      </c>
      <c r="T663" s="152" t="e">
        <f>+VLOOKUP($L663,Data_Validation!$A:$D,1,0)</f>
        <v>#N/A</v>
      </c>
      <c r="U663" s="152" t="e">
        <f>+VLOOKUP($L663,Data_Validation!$A:$D,3,0)</f>
        <v>#N/A</v>
      </c>
      <c r="V663" s="152" t="e">
        <f>+VLOOKUP($L663,Data_Validation!$A:$D,4,0)</f>
        <v>#N/A</v>
      </c>
      <c r="W663" s="152" t="e">
        <f>+VLOOKUP($L663,Data_Validation!$A:$E,5,0)</f>
        <v>#N/A</v>
      </c>
      <c r="X663" s="152" t="e">
        <f>+VLOOKUP($L663,Data_Validation!$A:$F,6,0)</f>
        <v>#N/A</v>
      </c>
    </row>
    <row r="664" spans="1:24" ht="15.75" customHeight="1">
      <c r="A664" s="662"/>
      <c r="B664" s="662"/>
      <c r="C664" s="663"/>
      <c r="D664" s="663"/>
      <c r="E664" s="663"/>
      <c r="F664" s="662"/>
      <c r="G664" s="662"/>
      <c r="H664" s="657"/>
      <c r="I664" s="656"/>
      <c r="J664" s="656"/>
      <c r="K664" s="656"/>
      <c r="L664" s="149">
        <f t="shared" si="50"/>
        <v>0</v>
      </c>
      <c r="M664" s="150">
        <f t="shared" si="51"/>
        <v>0</v>
      </c>
      <c r="N664" s="151">
        <f>+IF(OR($Q664=Parametres!$G$2,$Q664=Parametres!$G$3),I664,C664)</f>
        <v>0</v>
      </c>
      <c r="O664" s="151">
        <f>+IF(OR($Q664=Parametres!$G$2,$Q664=Parametres!$G$3),J664,D664)</f>
        <v>0</v>
      </c>
      <c r="P664" s="151">
        <f>+IF(OR($Q664=Parametres!$G$2,$Q664=Parametres!$G$3),K664,E664)</f>
        <v>0</v>
      </c>
      <c r="Q664" s="150">
        <f t="shared" si="52"/>
        <v>0</v>
      </c>
      <c r="R664" s="149">
        <f t="shared" si="53"/>
        <v>0</v>
      </c>
      <c r="S664" s="150">
        <f t="shared" si="54"/>
        <v>0</v>
      </c>
      <c r="T664" s="152" t="e">
        <f>+VLOOKUP($L664,Data_Validation!$A:$D,1,0)</f>
        <v>#N/A</v>
      </c>
      <c r="U664" s="152" t="e">
        <f>+VLOOKUP($L664,Data_Validation!$A:$D,3,0)</f>
        <v>#N/A</v>
      </c>
      <c r="V664" s="152" t="e">
        <f>+VLOOKUP($L664,Data_Validation!$A:$D,4,0)</f>
        <v>#N/A</v>
      </c>
      <c r="W664" s="152" t="e">
        <f>+VLOOKUP($L664,Data_Validation!$A:$E,5,0)</f>
        <v>#N/A</v>
      </c>
      <c r="X664" s="152" t="e">
        <f>+VLOOKUP($L664,Data_Validation!$A:$F,6,0)</f>
        <v>#N/A</v>
      </c>
    </row>
    <row r="665" spans="1:24" ht="15.75" customHeight="1">
      <c r="A665" s="662"/>
      <c r="B665" s="662"/>
      <c r="C665" s="663"/>
      <c r="D665" s="663"/>
      <c r="E665" s="663"/>
      <c r="F665" s="662"/>
      <c r="G665" s="662"/>
      <c r="H665" s="657"/>
      <c r="I665" s="656"/>
      <c r="J665" s="656"/>
      <c r="K665" s="656"/>
      <c r="L665" s="149">
        <f t="shared" si="50"/>
        <v>0</v>
      </c>
      <c r="M665" s="150">
        <f t="shared" si="51"/>
        <v>0</v>
      </c>
      <c r="N665" s="151">
        <f>+IF(OR($Q665=Parametres!$G$2,$Q665=Parametres!$G$3),I665,C665)</f>
        <v>0</v>
      </c>
      <c r="O665" s="151">
        <f>+IF(OR($Q665=Parametres!$G$2,$Q665=Parametres!$G$3),J665,D665)</f>
        <v>0</v>
      </c>
      <c r="P665" s="151">
        <f>+IF(OR($Q665=Parametres!$G$2,$Q665=Parametres!$G$3),K665,E665)</f>
        <v>0</v>
      </c>
      <c r="Q665" s="150">
        <f t="shared" si="52"/>
        <v>0</v>
      </c>
      <c r="R665" s="149">
        <f t="shared" si="53"/>
        <v>0</v>
      </c>
      <c r="S665" s="150">
        <f t="shared" si="54"/>
        <v>0</v>
      </c>
      <c r="T665" s="152" t="e">
        <f>+VLOOKUP($L665,Data_Validation!$A:$D,1,0)</f>
        <v>#N/A</v>
      </c>
      <c r="U665" s="152" t="e">
        <f>+VLOOKUP($L665,Data_Validation!$A:$D,3,0)</f>
        <v>#N/A</v>
      </c>
      <c r="V665" s="152" t="e">
        <f>+VLOOKUP($L665,Data_Validation!$A:$D,4,0)</f>
        <v>#N/A</v>
      </c>
      <c r="W665" s="152" t="e">
        <f>+VLOOKUP($L665,Data_Validation!$A:$E,5,0)</f>
        <v>#N/A</v>
      </c>
      <c r="X665" s="152" t="e">
        <f>+VLOOKUP($L665,Data_Validation!$A:$F,6,0)</f>
        <v>#N/A</v>
      </c>
    </row>
    <row r="666" spans="1:24" ht="15.75" customHeight="1">
      <c r="A666" s="662"/>
      <c r="B666" s="662"/>
      <c r="C666" s="663"/>
      <c r="D666" s="663"/>
      <c r="E666" s="663"/>
      <c r="F666" s="662"/>
      <c r="G666" s="662"/>
      <c r="H666" s="657"/>
      <c r="I666" s="656"/>
      <c r="J666" s="656"/>
      <c r="K666" s="656"/>
      <c r="L666" s="149">
        <f t="shared" si="50"/>
        <v>0</v>
      </c>
      <c r="M666" s="150">
        <f t="shared" si="51"/>
        <v>0</v>
      </c>
      <c r="N666" s="151">
        <f>+IF(OR($Q666=Parametres!$G$2,$Q666=Parametres!$G$3),I666,C666)</f>
        <v>0</v>
      </c>
      <c r="O666" s="151">
        <f>+IF(OR($Q666=Parametres!$G$2,$Q666=Parametres!$G$3),J666,D666)</f>
        <v>0</v>
      </c>
      <c r="P666" s="151">
        <f>+IF(OR($Q666=Parametres!$G$2,$Q666=Parametres!$G$3),K666,E666)</f>
        <v>0</v>
      </c>
      <c r="Q666" s="150">
        <f t="shared" si="52"/>
        <v>0</v>
      </c>
      <c r="R666" s="149">
        <f t="shared" si="53"/>
        <v>0</v>
      </c>
      <c r="S666" s="150">
        <f t="shared" si="54"/>
        <v>0</v>
      </c>
      <c r="T666" s="152" t="e">
        <f>+VLOOKUP($L666,Data_Validation!$A:$D,1,0)</f>
        <v>#N/A</v>
      </c>
      <c r="U666" s="152" t="e">
        <f>+VLOOKUP($L666,Data_Validation!$A:$D,3,0)</f>
        <v>#N/A</v>
      </c>
      <c r="V666" s="152" t="e">
        <f>+VLOOKUP($L666,Data_Validation!$A:$D,4,0)</f>
        <v>#N/A</v>
      </c>
      <c r="W666" s="152" t="e">
        <f>+VLOOKUP($L666,Data_Validation!$A:$E,5,0)</f>
        <v>#N/A</v>
      </c>
      <c r="X666" s="152" t="e">
        <f>+VLOOKUP($L666,Data_Validation!$A:$F,6,0)</f>
        <v>#N/A</v>
      </c>
    </row>
    <row r="667" spans="1:24" ht="15.75" customHeight="1">
      <c r="A667" s="662"/>
      <c r="B667" s="662"/>
      <c r="C667" s="663"/>
      <c r="D667" s="663"/>
      <c r="E667" s="663"/>
      <c r="F667" s="662"/>
      <c r="G667" s="662"/>
      <c r="H667" s="657"/>
      <c r="I667" s="656"/>
      <c r="J667" s="656"/>
      <c r="K667" s="656"/>
      <c r="L667" s="149">
        <f t="shared" si="50"/>
        <v>0</v>
      </c>
      <c r="M667" s="150">
        <f t="shared" si="51"/>
        <v>0</v>
      </c>
      <c r="N667" s="151">
        <f>+IF(OR($Q667=Parametres!$G$2,$Q667=Parametres!$G$3),I667,C667)</f>
        <v>0</v>
      </c>
      <c r="O667" s="151">
        <f>+IF(OR($Q667=Parametres!$G$2,$Q667=Parametres!$G$3),J667,D667)</f>
        <v>0</v>
      </c>
      <c r="P667" s="151">
        <f>+IF(OR($Q667=Parametres!$G$2,$Q667=Parametres!$G$3),K667,E667)</f>
        <v>0</v>
      </c>
      <c r="Q667" s="150">
        <f t="shared" si="52"/>
        <v>0</v>
      </c>
      <c r="R667" s="149">
        <f t="shared" si="53"/>
        <v>0</v>
      </c>
      <c r="S667" s="150">
        <f t="shared" si="54"/>
        <v>0</v>
      </c>
      <c r="T667" s="152" t="e">
        <f>+VLOOKUP($L667,Data_Validation!$A:$D,1,0)</f>
        <v>#N/A</v>
      </c>
      <c r="U667" s="152" t="e">
        <f>+VLOOKUP($L667,Data_Validation!$A:$D,3,0)</f>
        <v>#N/A</v>
      </c>
      <c r="V667" s="152" t="e">
        <f>+VLOOKUP($L667,Data_Validation!$A:$D,4,0)</f>
        <v>#N/A</v>
      </c>
      <c r="W667" s="152" t="e">
        <f>+VLOOKUP($L667,Data_Validation!$A:$E,5,0)</f>
        <v>#N/A</v>
      </c>
      <c r="X667" s="152" t="e">
        <f>+VLOOKUP($L667,Data_Validation!$A:$F,6,0)</f>
        <v>#N/A</v>
      </c>
    </row>
    <row r="668" spans="1:24" ht="15.75" customHeight="1">
      <c r="A668" s="662"/>
      <c r="B668" s="662"/>
      <c r="C668" s="663"/>
      <c r="D668" s="663"/>
      <c r="E668" s="663"/>
      <c r="F668" s="662"/>
      <c r="G668" s="662"/>
      <c r="H668" s="657"/>
      <c r="I668" s="656"/>
      <c r="J668" s="656"/>
      <c r="K668" s="656"/>
      <c r="L668" s="149">
        <f t="shared" si="50"/>
        <v>0</v>
      </c>
      <c r="M668" s="150">
        <f t="shared" si="51"/>
        <v>0</v>
      </c>
      <c r="N668" s="151">
        <f>+IF(OR($Q668=Parametres!$G$2,$Q668=Parametres!$G$3),I668,C668)</f>
        <v>0</v>
      </c>
      <c r="O668" s="472">
        <f>+IF(OR($Q668=Parametres!$G$2,$Q668=Parametres!$G$3),J668,D668)</f>
        <v>0</v>
      </c>
      <c r="P668" s="151">
        <f>+IF(OR($Q668=Parametres!$G$2,$Q668=Parametres!$G$3),K668,E668)</f>
        <v>0</v>
      </c>
      <c r="Q668" s="150">
        <f t="shared" si="52"/>
        <v>0</v>
      </c>
      <c r="R668" s="149">
        <f t="shared" si="53"/>
        <v>0</v>
      </c>
      <c r="S668" s="150">
        <f t="shared" si="54"/>
        <v>0</v>
      </c>
      <c r="T668" s="152" t="e">
        <f>+VLOOKUP($L668,Data_Validation!$A:$D,1,0)</f>
        <v>#N/A</v>
      </c>
      <c r="U668" s="152" t="e">
        <f>+VLOOKUP($L668,Data_Validation!$A:$D,3,0)</f>
        <v>#N/A</v>
      </c>
      <c r="V668" s="152" t="e">
        <f>+VLOOKUP($L668,Data_Validation!$A:$D,4,0)</f>
        <v>#N/A</v>
      </c>
      <c r="W668" s="152" t="e">
        <f>+VLOOKUP($L668,Data_Validation!$A:$E,5,0)</f>
        <v>#N/A</v>
      </c>
      <c r="X668" s="152" t="e">
        <f>+VLOOKUP($L668,Data_Validation!$A:$F,6,0)</f>
        <v>#N/A</v>
      </c>
    </row>
    <row r="669" spans="1:24" ht="15.75" customHeight="1">
      <c r="A669" s="662"/>
      <c r="B669" s="662"/>
      <c r="C669" s="663"/>
      <c r="D669" s="663"/>
      <c r="E669" s="663"/>
      <c r="F669" s="662"/>
      <c r="G669" s="662"/>
      <c r="H669" s="657"/>
      <c r="I669" s="656"/>
      <c r="J669" s="656"/>
      <c r="K669" s="656"/>
      <c r="L669" s="149">
        <f t="shared" si="50"/>
        <v>0</v>
      </c>
      <c r="M669" s="150">
        <f t="shared" si="51"/>
        <v>0</v>
      </c>
      <c r="N669" s="151">
        <f>+IF(OR($Q669=Parametres!$G$2,$Q669=Parametres!$G$3),I669,C669)</f>
        <v>0</v>
      </c>
      <c r="O669" s="472">
        <f>+IF(OR($Q669=Parametres!$G$2,$Q669=Parametres!$G$3),J669,D669)</f>
        <v>0</v>
      </c>
      <c r="P669" s="151">
        <f>+IF(OR($Q669=Parametres!$G$2,$Q669=Parametres!$G$3),K669,E669)</f>
        <v>0</v>
      </c>
      <c r="Q669" s="150">
        <f t="shared" si="52"/>
        <v>0</v>
      </c>
      <c r="R669" s="149">
        <f t="shared" si="53"/>
        <v>0</v>
      </c>
      <c r="S669" s="150">
        <f t="shared" si="54"/>
        <v>0</v>
      </c>
      <c r="T669" s="152" t="e">
        <f>+VLOOKUP($L669,Data_Validation!$A:$D,1,0)</f>
        <v>#N/A</v>
      </c>
      <c r="U669" s="152" t="e">
        <f>+VLOOKUP($L669,Data_Validation!$A:$D,3,0)</f>
        <v>#N/A</v>
      </c>
      <c r="V669" s="152" t="e">
        <f>+VLOOKUP($L669,Data_Validation!$A:$D,4,0)</f>
        <v>#N/A</v>
      </c>
      <c r="W669" s="152" t="e">
        <f>+VLOOKUP($L669,Data_Validation!$A:$E,5,0)</f>
        <v>#N/A</v>
      </c>
      <c r="X669" s="152" t="e">
        <f>+VLOOKUP($L669,Data_Validation!$A:$F,6,0)</f>
        <v>#N/A</v>
      </c>
    </row>
    <row r="670" spans="1:24" ht="15.75" customHeight="1">
      <c r="A670" s="662"/>
      <c r="B670" s="662"/>
      <c r="C670" s="663"/>
      <c r="D670" s="663"/>
      <c r="E670" s="663"/>
      <c r="F670" s="662"/>
      <c r="G670" s="662"/>
      <c r="H670" s="657"/>
      <c r="I670" s="656"/>
      <c r="J670" s="656"/>
      <c r="K670" s="656"/>
      <c r="L670" s="149">
        <f t="shared" si="50"/>
        <v>0</v>
      </c>
      <c r="M670" s="150">
        <f t="shared" si="51"/>
        <v>0</v>
      </c>
      <c r="N670" s="151">
        <f>+IF(OR($Q670=Parametres!$G$2,$Q670=Parametres!$G$3),I670,C670)</f>
        <v>0</v>
      </c>
      <c r="O670" s="151">
        <f>+IF(OR($Q670=Parametres!$G$2,$Q670=Parametres!$G$3),J670,D670)</f>
        <v>0</v>
      </c>
      <c r="P670" s="151">
        <f>+IF(OR($Q670=Parametres!$G$2,$Q670=Parametres!$G$3),K670,E670)</f>
        <v>0</v>
      </c>
      <c r="Q670" s="150">
        <f t="shared" si="52"/>
        <v>0</v>
      </c>
      <c r="R670" s="149">
        <f t="shared" si="53"/>
        <v>0</v>
      </c>
      <c r="S670" s="150">
        <f t="shared" si="54"/>
        <v>0</v>
      </c>
      <c r="T670" s="152" t="e">
        <f>+VLOOKUP($L670,Data_Validation!$A:$D,1,0)</f>
        <v>#N/A</v>
      </c>
      <c r="U670" s="152" t="e">
        <f>+VLOOKUP($L670,Data_Validation!$A:$D,3,0)</f>
        <v>#N/A</v>
      </c>
      <c r="V670" s="152" t="e">
        <f>+VLOOKUP($L670,Data_Validation!$A:$D,4,0)</f>
        <v>#N/A</v>
      </c>
      <c r="W670" s="152" t="e">
        <f>+VLOOKUP($L670,Data_Validation!$A:$E,5,0)</f>
        <v>#N/A</v>
      </c>
      <c r="X670" s="152" t="e">
        <f>+VLOOKUP($L670,Data_Validation!$A:$F,6,0)</f>
        <v>#N/A</v>
      </c>
    </row>
    <row r="671" spans="1:24" ht="15.75" customHeight="1">
      <c r="A671" s="662"/>
      <c r="B671" s="662"/>
      <c r="C671" s="663"/>
      <c r="D671" s="663"/>
      <c r="E671" s="663"/>
      <c r="F671" s="662"/>
      <c r="G671" s="662"/>
      <c r="H671" s="657"/>
      <c r="I671" s="656"/>
      <c r="J671" s="656"/>
      <c r="K671" s="656"/>
      <c r="L671" s="149">
        <f t="shared" si="50"/>
        <v>0</v>
      </c>
      <c r="M671" s="150">
        <f t="shared" si="51"/>
        <v>0</v>
      </c>
      <c r="N671" s="151">
        <f>+IF(OR($Q671=Parametres!$G$2,$Q671=Parametres!$G$3),I671,C671)</f>
        <v>0</v>
      </c>
      <c r="O671" s="472">
        <f>+IF(OR($Q671=Parametres!$G$2,$Q671=Parametres!$G$3),J671,D671)</f>
        <v>0</v>
      </c>
      <c r="P671" s="151">
        <f>+IF(OR($Q671=Parametres!$G$2,$Q671=Parametres!$G$3),K671,E671)</f>
        <v>0</v>
      </c>
      <c r="Q671" s="150">
        <f t="shared" si="52"/>
        <v>0</v>
      </c>
      <c r="R671" s="149">
        <f t="shared" si="53"/>
        <v>0</v>
      </c>
      <c r="S671" s="150">
        <f t="shared" si="54"/>
        <v>0</v>
      </c>
      <c r="T671" s="152" t="e">
        <f>+VLOOKUP($L671,Data_Validation!$A:$D,1,0)</f>
        <v>#N/A</v>
      </c>
      <c r="U671" s="152" t="e">
        <f>+VLOOKUP($L671,Data_Validation!$A:$D,3,0)</f>
        <v>#N/A</v>
      </c>
      <c r="V671" s="152" t="e">
        <f>+VLOOKUP($L671,Data_Validation!$A:$D,4,0)</f>
        <v>#N/A</v>
      </c>
      <c r="W671" s="152" t="e">
        <f>+VLOOKUP($L671,Data_Validation!$A:$E,5,0)</f>
        <v>#N/A</v>
      </c>
      <c r="X671" s="152" t="e">
        <f>+VLOOKUP($L671,Data_Validation!$A:$F,6,0)</f>
        <v>#N/A</v>
      </c>
    </row>
    <row r="672" spans="1:24" ht="15.75" customHeight="1">
      <c r="A672" s="662"/>
      <c r="B672" s="662"/>
      <c r="C672" s="663"/>
      <c r="D672" s="663"/>
      <c r="E672" s="663"/>
      <c r="F672" s="662"/>
      <c r="G672" s="662"/>
      <c r="H672" s="657"/>
      <c r="I672" s="656"/>
      <c r="J672" s="656"/>
      <c r="K672" s="656"/>
      <c r="L672" s="149">
        <f t="shared" si="50"/>
        <v>0</v>
      </c>
      <c r="M672" s="150">
        <f t="shared" si="51"/>
        <v>0</v>
      </c>
      <c r="N672" s="151">
        <f>+IF(OR($Q672=Parametres!$G$2,$Q672=Parametres!$G$3),I672,C672)</f>
        <v>0</v>
      </c>
      <c r="O672" s="472">
        <f>+IF(OR($Q672=Parametres!$G$2,$Q672=Parametres!$G$3),J672,D672)</f>
        <v>0</v>
      </c>
      <c r="P672" s="151">
        <f>+IF(OR($Q672=Parametres!$G$2,$Q672=Parametres!$G$3),K672,E672)</f>
        <v>0</v>
      </c>
      <c r="Q672" s="150">
        <f t="shared" si="52"/>
        <v>0</v>
      </c>
      <c r="R672" s="149">
        <f t="shared" si="53"/>
        <v>0</v>
      </c>
      <c r="S672" s="150">
        <f t="shared" si="54"/>
        <v>0</v>
      </c>
      <c r="T672" s="152" t="e">
        <f>+VLOOKUP($L672,Data_Validation!$A:$D,1,0)</f>
        <v>#N/A</v>
      </c>
      <c r="U672" s="152" t="e">
        <f>+VLOOKUP($L672,Data_Validation!$A:$D,3,0)</f>
        <v>#N/A</v>
      </c>
      <c r="V672" s="152" t="e">
        <f>+VLOOKUP($L672,Data_Validation!$A:$D,4,0)</f>
        <v>#N/A</v>
      </c>
      <c r="W672" s="152" t="e">
        <f>+VLOOKUP($L672,Data_Validation!$A:$E,5,0)</f>
        <v>#N/A</v>
      </c>
      <c r="X672" s="152" t="e">
        <f>+VLOOKUP($L672,Data_Validation!$A:$F,6,0)</f>
        <v>#N/A</v>
      </c>
    </row>
    <row r="673" spans="1:24" ht="15.75" customHeight="1">
      <c r="A673" s="662"/>
      <c r="B673" s="662"/>
      <c r="C673" s="663"/>
      <c r="D673" s="663"/>
      <c r="E673" s="663"/>
      <c r="F673" s="662"/>
      <c r="G673" s="662"/>
      <c r="H673" s="657"/>
      <c r="I673" s="656"/>
      <c r="J673" s="656"/>
      <c r="K673" s="656"/>
      <c r="L673" s="149">
        <f t="shared" si="50"/>
        <v>0</v>
      </c>
      <c r="M673" s="150">
        <f t="shared" si="51"/>
        <v>0</v>
      </c>
      <c r="N673" s="151">
        <f>+IF(OR($Q673=Parametres!$G$2,$Q673=Parametres!$G$3),I673,C673)</f>
        <v>0</v>
      </c>
      <c r="O673" s="472">
        <f>+IF(OR($Q673=Parametres!$G$2,$Q673=Parametres!$G$3),J673,D673)</f>
        <v>0</v>
      </c>
      <c r="P673" s="151">
        <f>+IF(OR($Q673=Parametres!$G$2,$Q673=Parametres!$G$3),K673,E673)</f>
        <v>0</v>
      </c>
      <c r="Q673" s="150">
        <f t="shared" si="52"/>
        <v>0</v>
      </c>
      <c r="R673" s="149">
        <f t="shared" si="53"/>
        <v>0</v>
      </c>
      <c r="S673" s="150">
        <f t="shared" si="54"/>
        <v>0</v>
      </c>
      <c r="T673" s="152" t="e">
        <f>+VLOOKUP($L673,Data_Validation!$A:$D,1,0)</f>
        <v>#N/A</v>
      </c>
      <c r="U673" s="152" t="e">
        <f>+VLOOKUP($L673,Data_Validation!$A:$D,3,0)</f>
        <v>#N/A</v>
      </c>
      <c r="V673" s="152" t="e">
        <f>+VLOOKUP($L673,Data_Validation!$A:$D,4,0)</f>
        <v>#N/A</v>
      </c>
      <c r="W673" s="152" t="e">
        <f>+VLOOKUP($L673,Data_Validation!$A:$E,5,0)</f>
        <v>#N/A</v>
      </c>
      <c r="X673" s="152" t="e">
        <f>+VLOOKUP($L673,Data_Validation!$A:$F,6,0)</f>
        <v>#N/A</v>
      </c>
    </row>
    <row r="674" spans="1:24" ht="15.75" customHeight="1">
      <c r="A674" s="662"/>
      <c r="B674" s="662"/>
      <c r="C674" s="663"/>
      <c r="D674" s="663"/>
      <c r="E674" s="663"/>
      <c r="F674" s="662"/>
      <c r="G674" s="662"/>
      <c r="H674" s="657"/>
      <c r="I674" s="656"/>
      <c r="J674" s="656"/>
      <c r="K674" s="656"/>
      <c r="L674" s="149">
        <f t="shared" si="50"/>
        <v>0</v>
      </c>
      <c r="M674" s="150">
        <f t="shared" si="51"/>
        <v>0</v>
      </c>
      <c r="N674" s="151">
        <f>+IF(OR($Q674=Parametres!$G$2,$Q674=Parametres!$G$3),I674,C674)</f>
        <v>0</v>
      </c>
      <c r="O674" s="151">
        <f>+IF(OR($Q674=Parametres!$G$2,$Q674=Parametres!$G$3),J674,D674)</f>
        <v>0</v>
      </c>
      <c r="P674" s="151">
        <f>+IF(OR($Q674=Parametres!$G$2,$Q674=Parametres!$G$3),K674,E674)</f>
        <v>0</v>
      </c>
      <c r="Q674" s="150">
        <f t="shared" si="52"/>
        <v>0</v>
      </c>
      <c r="R674" s="149">
        <f t="shared" si="53"/>
        <v>0</v>
      </c>
      <c r="S674" s="150">
        <f t="shared" si="54"/>
        <v>0</v>
      </c>
      <c r="T674" s="152" t="e">
        <f>+VLOOKUP($L674,Data_Validation!$A:$D,1,0)</f>
        <v>#N/A</v>
      </c>
      <c r="U674" s="152" t="e">
        <f>+VLOOKUP($L674,Data_Validation!$A:$D,3,0)</f>
        <v>#N/A</v>
      </c>
      <c r="V674" s="152" t="e">
        <f>+VLOOKUP($L674,Data_Validation!$A:$D,4,0)</f>
        <v>#N/A</v>
      </c>
      <c r="W674" s="152" t="e">
        <f>+VLOOKUP($L674,Data_Validation!$A:$E,5,0)</f>
        <v>#N/A</v>
      </c>
      <c r="X674" s="152" t="e">
        <f>+VLOOKUP($L674,Data_Validation!$A:$F,6,0)</f>
        <v>#N/A</v>
      </c>
    </row>
    <row r="675" spans="1:24" ht="15.75" customHeight="1">
      <c r="A675" s="662"/>
      <c r="B675" s="662"/>
      <c r="C675" s="663"/>
      <c r="D675" s="663"/>
      <c r="E675" s="663"/>
      <c r="F675" s="662"/>
      <c r="G675" s="662"/>
      <c r="H675" s="657"/>
      <c r="I675" s="656"/>
      <c r="J675" s="656"/>
      <c r="K675" s="656"/>
      <c r="L675" s="149">
        <f t="shared" si="50"/>
        <v>0</v>
      </c>
      <c r="M675" s="150">
        <f t="shared" si="51"/>
        <v>0</v>
      </c>
      <c r="N675" s="151">
        <f>+IF(OR($Q675=Parametres!$G$2,$Q675=Parametres!$G$3),I675,C675)</f>
        <v>0</v>
      </c>
      <c r="O675" s="151">
        <f>+IF(OR($Q675=Parametres!$G$2,$Q675=Parametres!$G$3),J675,D675)</f>
        <v>0</v>
      </c>
      <c r="P675" s="151">
        <f>+IF(OR($Q675=Parametres!$G$2,$Q675=Parametres!$G$3),K675,E675)</f>
        <v>0</v>
      </c>
      <c r="Q675" s="150">
        <f t="shared" si="52"/>
        <v>0</v>
      </c>
      <c r="R675" s="149">
        <f t="shared" si="53"/>
        <v>0</v>
      </c>
      <c r="S675" s="150">
        <f t="shared" si="54"/>
        <v>0</v>
      </c>
      <c r="T675" s="152" t="e">
        <f>+VLOOKUP($L675,Data_Validation!$A:$D,1,0)</f>
        <v>#N/A</v>
      </c>
      <c r="U675" s="152" t="e">
        <f>+VLOOKUP($L675,Data_Validation!$A:$D,3,0)</f>
        <v>#N/A</v>
      </c>
      <c r="V675" s="152" t="e">
        <f>+VLOOKUP($L675,Data_Validation!$A:$D,4,0)</f>
        <v>#N/A</v>
      </c>
      <c r="W675" s="152" t="e">
        <f>+VLOOKUP($L675,Data_Validation!$A:$E,5,0)</f>
        <v>#N/A</v>
      </c>
      <c r="X675" s="152" t="e">
        <f>+VLOOKUP($L675,Data_Validation!$A:$F,6,0)</f>
        <v>#N/A</v>
      </c>
    </row>
    <row r="676" spans="1:24" ht="15.75" customHeight="1">
      <c r="A676" s="662"/>
      <c r="B676" s="662"/>
      <c r="C676" s="663"/>
      <c r="D676" s="663"/>
      <c r="E676" s="663"/>
      <c r="F676" s="662"/>
      <c r="G676" s="662"/>
      <c r="H676" s="657"/>
      <c r="I676" s="656"/>
      <c r="J676" s="656"/>
      <c r="K676" s="656"/>
      <c r="L676" s="149">
        <f t="shared" si="50"/>
        <v>0</v>
      </c>
      <c r="M676" s="150">
        <f t="shared" si="51"/>
        <v>0</v>
      </c>
      <c r="N676" s="151">
        <f>+IF(OR($Q676=Parametres!$G$2,$Q676=Parametres!$G$3),I676,C676)</f>
        <v>0</v>
      </c>
      <c r="O676" s="151">
        <f>+IF(OR($Q676=Parametres!$G$2,$Q676=Parametres!$G$3),J676,D676)</f>
        <v>0</v>
      </c>
      <c r="P676" s="151">
        <f>+IF(OR($Q676=Parametres!$G$2,$Q676=Parametres!$G$3),K676,E676)</f>
        <v>0</v>
      </c>
      <c r="Q676" s="150">
        <f t="shared" si="52"/>
        <v>0</v>
      </c>
      <c r="R676" s="149">
        <f t="shared" si="53"/>
        <v>0</v>
      </c>
      <c r="S676" s="150">
        <f t="shared" si="54"/>
        <v>0</v>
      </c>
      <c r="T676" s="152" t="e">
        <f>+VLOOKUP($L676,Data_Validation!$A:$D,1,0)</f>
        <v>#N/A</v>
      </c>
      <c r="U676" s="152" t="e">
        <f>+VLOOKUP($L676,Data_Validation!$A:$D,3,0)</f>
        <v>#N/A</v>
      </c>
      <c r="V676" s="152" t="e">
        <f>+VLOOKUP($L676,Data_Validation!$A:$D,4,0)</f>
        <v>#N/A</v>
      </c>
      <c r="W676" s="152" t="e">
        <f>+VLOOKUP($L676,Data_Validation!$A:$E,5,0)</f>
        <v>#N/A</v>
      </c>
      <c r="X676" s="152" t="e">
        <f>+VLOOKUP($L676,Data_Validation!$A:$F,6,0)</f>
        <v>#N/A</v>
      </c>
    </row>
    <row r="677" spans="1:24" ht="15.75" customHeight="1">
      <c r="A677" s="662"/>
      <c r="B677" s="662"/>
      <c r="C677" s="663"/>
      <c r="D677" s="663"/>
      <c r="E677" s="663"/>
      <c r="F677" s="662"/>
      <c r="G677" s="662"/>
      <c r="H677" s="657"/>
      <c r="I677" s="656"/>
      <c r="J677" s="656"/>
      <c r="K677" s="656"/>
      <c r="L677" s="149">
        <f t="shared" si="50"/>
        <v>0</v>
      </c>
      <c r="M677" s="150">
        <f t="shared" si="51"/>
        <v>0</v>
      </c>
      <c r="N677" s="151">
        <f>+IF(OR($Q677=Parametres!$G$2,$Q677=Parametres!$G$3),I677,C677)</f>
        <v>0</v>
      </c>
      <c r="O677" s="151">
        <f>+IF(OR($Q677=Parametres!$G$2,$Q677=Parametres!$G$3),J677,D677)</f>
        <v>0</v>
      </c>
      <c r="P677" s="151">
        <f>+IF(OR($Q677=Parametres!$G$2,$Q677=Parametres!$G$3),K677,E677)</f>
        <v>0</v>
      </c>
      <c r="Q677" s="150">
        <f t="shared" si="52"/>
        <v>0</v>
      </c>
      <c r="R677" s="149">
        <f t="shared" si="53"/>
        <v>0</v>
      </c>
      <c r="S677" s="150">
        <f t="shared" si="54"/>
        <v>0</v>
      </c>
      <c r="T677" s="152" t="e">
        <f>+VLOOKUP($L677,Data_Validation!$A:$D,1,0)</f>
        <v>#N/A</v>
      </c>
      <c r="U677" s="152" t="e">
        <f>+VLOOKUP($L677,Data_Validation!$A:$D,3,0)</f>
        <v>#N/A</v>
      </c>
      <c r="V677" s="152" t="e">
        <f>+VLOOKUP($L677,Data_Validation!$A:$D,4,0)</f>
        <v>#N/A</v>
      </c>
      <c r="W677" s="152" t="e">
        <f>+VLOOKUP($L677,Data_Validation!$A:$E,5,0)</f>
        <v>#N/A</v>
      </c>
      <c r="X677" s="152" t="e">
        <f>+VLOOKUP($L677,Data_Validation!$A:$F,6,0)</f>
        <v>#N/A</v>
      </c>
    </row>
    <row r="678" spans="1:24" ht="15.75" customHeight="1">
      <c r="A678" s="662"/>
      <c r="B678" s="662"/>
      <c r="C678" s="663"/>
      <c r="D678" s="663"/>
      <c r="E678" s="663"/>
      <c r="F678" s="662"/>
      <c r="G678" s="662"/>
      <c r="H678" s="657"/>
      <c r="I678" s="656"/>
      <c r="J678" s="656"/>
      <c r="K678" s="656"/>
      <c r="L678" s="149">
        <f t="shared" si="50"/>
        <v>0</v>
      </c>
      <c r="M678" s="150">
        <f t="shared" si="51"/>
        <v>0</v>
      </c>
      <c r="N678" s="151">
        <f>+IF(OR($Q678=Parametres!$G$2,$Q678=Parametres!$G$3),I678,C678)</f>
        <v>0</v>
      </c>
      <c r="O678" s="151">
        <f>+IF(OR($Q678=Parametres!$G$2,$Q678=Parametres!$G$3),J678,D678)</f>
        <v>0</v>
      </c>
      <c r="P678" s="151">
        <f>+IF(OR($Q678=Parametres!$G$2,$Q678=Parametres!$G$3),K678,E678)</f>
        <v>0</v>
      </c>
      <c r="Q678" s="150">
        <f t="shared" si="52"/>
        <v>0</v>
      </c>
      <c r="R678" s="149">
        <f t="shared" si="53"/>
        <v>0</v>
      </c>
      <c r="S678" s="150">
        <f t="shared" si="54"/>
        <v>0</v>
      </c>
      <c r="T678" s="152" t="e">
        <f>+VLOOKUP($L678,Data_Validation!$A:$D,1,0)</f>
        <v>#N/A</v>
      </c>
      <c r="U678" s="152" t="e">
        <f>+VLOOKUP($L678,Data_Validation!$A:$D,3,0)</f>
        <v>#N/A</v>
      </c>
      <c r="V678" s="152" t="e">
        <f>+VLOOKUP($L678,Data_Validation!$A:$D,4,0)</f>
        <v>#N/A</v>
      </c>
      <c r="W678" s="152" t="e">
        <f>+VLOOKUP($L678,Data_Validation!$A:$E,5,0)</f>
        <v>#N/A</v>
      </c>
      <c r="X678" s="152" t="e">
        <f>+VLOOKUP($L678,Data_Validation!$A:$F,6,0)</f>
        <v>#N/A</v>
      </c>
    </row>
    <row r="679" spans="1:24" ht="15.75" customHeight="1">
      <c r="A679" s="662"/>
      <c r="B679" s="662"/>
      <c r="C679" s="663"/>
      <c r="D679" s="663"/>
      <c r="E679" s="663"/>
      <c r="F679" s="662"/>
      <c r="G679" s="662"/>
      <c r="H679" s="657"/>
      <c r="I679" s="656"/>
      <c r="J679" s="656"/>
      <c r="K679" s="656"/>
      <c r="L679" s="149">
        <f t="shared" si="50"/>
        <v>0</v>
      </c>
      <c r="M679" s="150">
        <f t="shared" si="51"/>
        <v>0</v>
      </c>
      <c r="N679" s="151">
        <f>+IF(OR($Q679=Parametres!$G$2,$Q679=Parametres!$G$3),I679,C679)</f>
        <v>0</v>
      </c>
      <c r="O679" s="151">
        <f>+IF(OR($Q679=Parametres!$G$2,$Q679=Parametres!$G$3),J679,D679)</f>
        <v>0</v>
      </c>
      <c r="P679" s="151">
        <f>+IF(OR($Q679=Parametres!$G$2,$Q679=Parametres!$G$3),K679,E679)</f>
        <v>0</v>
      </c>
      <c r="Q679" s="150">
        <f t="shared" si="52"/>
        <v>0</v>
      </c>
      <c r="R679" s="149">
        <f t="shared" si="53"/>
        <v>0</v>
      </c>
      <c r="S679" s="150">
        <f t="shared" si="54"/>
        <v>0</v>
      </c>
      <c r="T679" s="152" t="e">
        <f>+VLOOKUP($L679,Data_Validation!$A:$D,1,0)</f>
        <v>#N/A</v>
      </c>
      <c r="U679" s="152" t="e">
        <f>+VLOOKUP($L679,Data_Validation!$A:$D,3,0)</f>
        <v>#N/A</v>
      </c>
      <c r="V679" s="152" t="e">
        <f>+VLOOKUP($L679,Data_Validation!$A:$D,4,0)</f>
        <v>#N/A</v>
      </c>
      <c r="W679" s="152" t="e">
        <f>+VLOOKUP($L679,Data_Validation!$A:$E,5,0)</f>
        <v>#N/A</v>
      </c>
      <c r="X679" s="152" t="e">
        <f>+VLOOKUP($L679,Data_Validation!$A:$F,6,0)</f>
        <v>#N/A</v>
      </c>
    </row>
    <row r="680" spans="1:24" ht="15.75" customHeight="1">
      <c r="A680" s="662"/>
      <c r="B680" s="662"/>
      <c r="C680" s="663"/>
      <c r="D680" s="663"/>
      <c r="E680" s="663"/>
      <c r="F680" s="662"/>
      <c r="G680" s="662"/>
      <c r="H680" s="657"/>
      <c r="I680" s="656"/>
      <c r="J680" s="656"/>
      <c r="K680" s="656"/>
      <c r="L680" s="149">
        <f t="shared" si="50"/>
        <v>0</v>
      </c>
      <c r="M680" s="150">
        <f t="shared" si="51"/>
        <v>0</v>
      </c>
      <c r="N680" s="151">
        <f>+IF(OR($Q680=Parametres!$G$2,$Q680=Parametres!$G$3),I680,C680)</f>
        <v>0</v>
      </c>
      <c r="O680" s="151">
        <f>+IF(OR($Q680=Parametres!$G$2,$Q680=Parametres!$G$3),J680,D680)</f>
        <v>0</v>
      </c>
      <c r="P680" s="151">
        <f>+IF(OR($Q680=Parametres!$G$2,$Q680=Parametres!$G$3),K680,E680)</f>
        <v>0</v>
      </c>
      <c r="Q680" s="150">
        <f t="shared" si="52"/>
        <v>0</v>
      </c>
      <c r="R680" s="149">
        <f t="shared" si="53"/>
        <v>0</v>
      </c>
      <c r="S680" s="150">
        <f t="shared" si="54"/>
        <v>0</v>
      </c>
      <c r="T680" s="152" t="e">
        <f>+VLOOKUP($L680,Data_Validation!$A:$D,1,0)</f>
        <v>#N/A</v>
      </c>
      <c r="U680" s="152" t="e">
        <f>+VLOOKUP($L680,Data_Validation!$A:$D,3,0)</f>
        <v>#N/A</v>
      </c>
      <c r="V680" s="152" t="e">
        <f>+VLOOKUP($L680,Data_Validation!$A:$D,4,0)</f>
        <v>#N/A</v>
      </c>
      <c r="W680" s="152" t="e">
        <f>+VLOOKUP($L680,Data_Validation!$A:$E,5,0)</f>
        <v>#N/A</v>
      </c>
      <c r="X680" s="152" t="e">
        <f>+VLOOKUP($L680,Data_Validation!$A:$F,6,0)</f>
        <v>#N/A</v>
      </c>
    </row>
    <row r="681" spans="1:24" ht="15.75" customHeight="1">
      <c r="A681" s="662"/>
      <c r="B681" s="662"/>
      <c r="C681" s="663"/>
      <c r="D681" s="663"/>
      <c r="E681" s="663"/>
      <c r="F681" s="662"/>
      <c r="G681" s="662"/>
      <c r="H681" s="657"/>
      <c r="I681" s="656"/>
      <c r="J681" s="656"/>
      <c r="K681" s="656"/>
      <c r="L681" s="149">
        <f t="shared" si="50"/>
        <v>0</v>
      </c>
      <c r="M681" s="150">
        <f t="shared" si="51"/>
        <v>0</v>
      </c>
      <c r="N681" s="151">
        <f>+IF(OR($Q681=Parametres!$G$2,$Q681=Parametres!$G$3),I681,C681)</f>
        <v>0</v>
      </c>
      <c r="O681" s="151">
        <f>+IF(OR($Q681=Parametres!$G$2,$Q681=Parametres!$G$3),J681,D681)</f>
        <v>0</v>
      </c>
      <c r="P681" s="151">
        <f>+IF(OR($Q681=Parametres!$G$2,$Q681=Parametres!$G$3),K681,E681)</f>
        <v>0</v>
      </c>
      <c r="Q681" s="150">
        <f t="shared" si="52"/>
        <v>0</v>
      </c>
      <c r="R681" s="149">
        <f t="shared" si="53"/>
        <v>0</v>
      </c>
      <c r="S681" s="150">
        <f t="shared" si="54"/>
        <v>0</v>
      </c>
      <c r="T681" s="152" t="e">
        <f>+VLOOKUP($L681,Data_Validation!$A:$D,1,0)</f>
        <v>#N/A</v>
      </c>
      <c r="U681" s="152" t="e">
        <f>+VLOOKUP($L681,Data_Validation!$A:$D,3,0)</f>
        <v>#N/A</v>
      </c>
      <c r="V681" s="152" t="e">
        <f>+VLOOKUP($L681,Data_Validation!$A:$D,4,0)</f>
        <v>#N/A</v>
      </c>
      <c r="W681" s="152" t="e">
        <f>+VLOOKUP($L681,Data_Validation!$A:$E,5,0)</f>
        <v>#N/A</v>
      </c>
      <c r="X681" s="152" t="e">
        <f>+VLOOKUP($L681,Data_Validation!$A:$F,6,0)</f>
        <v>#N/A</v>
      </c>
    </row>
    <row r="682" spans="1:24" ht="15.75" customHeight="1">
      <c r="A682" s="662"/>
      <c r="B682" s="662"/>
      <c r="C682" s="663"/>
      <c r="D682" s="663"/>
      <c r="E682" s="663"/>
      <c r="F682" s="662"/>
      <c r="G682" s="662"/>
      <c r="H682" s="657"/>
      <c r="I682" s="656"/>
      <c r="J682" s="656"/>
      <c r="K682" s="656"/>
      <c r="L682" s="149">
        <f t="shared" si="50"/>
        <v>0</v>
      </c>
      <c r="M682" s="150">
        <f t="shared" si="51"/>
        <v>0</v>
      </c>
      <c r="N682" s="151">
        <f>+IF(OR($Q682=Parametres!$G$2,$Q682=Parametres!$G$3),I682,C682)</f>
        <v>0</v>
      </c>
      <c r="O682" s="151">
        <f>+IF(OR($Q682=Parametres!$G$2,$Q682=Parametres!$G$3),J682,D682)</f>
        <v>0</v>
      </c>
      <c r="P682" s="151">
        <f>+IF(OR($Q682=Parametres!$G$2,$Q682=Parametres!$G$3),K682,E682)</f>
        <v>0</v>
      </c>
      <c r="Q682" s="150">
        <f t="shared" si="52"/>
        <v>0</v>
      </c>
      <c r="R682" s="149">
        <f t="shared" si="53"/>
        <v>0</v>
      </c>
      <c r="S682" s="150">
        <f t="shared" si="54"/>
        <v>0</v>
      </c>
      <c r="T682" s="152" t="e">
        <f>+VLOOKUP($L682,Data_Validation!$A:$D,1,0)</f>
        <v>#N/A</v>
      </c>
      <c r="U682" s="152" t="e">
        <f>+VLOOKUP($L682,Data_Validation!$A:$D,3,0)</f>
        <v>#N/A</v>
      </c>
      <c r="V682" s="152" t="e">
        <f>+VLOOKUP($L682,Data_Validation!$A:$D,4,0)</f>
        <v>#N/A</v>
      </c>
      <c r="W682" s="152" t="e">
        <f>+VLOOKUP($L682,Data_Validation!$A:$E,5,0)</f>
        <v>#N/A</v>
      </c>
      <c r="X682" s="152" t="e">
        <f>+VLOOKUP($L682,Data_Validation!$A:$F,6,0)</f>
        <v>#N/A</v>
      </c>
    </row>
    <row r="683" spans="1:24" ht="15.75" customHeight="1">
      <c r="A683" s="662"/>
      <c r="B683" s="662"/>
      <c r="C683" s="663"/>
      <c r="D683" s="663"/>
      <c r="E683" s="663"/>
      <c r="F683" s="662"/>
      <c r="G683" s="662"/>
      <c r="H683" s="657"/>
      <c r="I683" s="656"/>
      <c r="J683" s="656"/>
      <c r="K683" s="656"/>
      <c r="L683" s="149">
        <f t="shared" si="50"/>
        <v>0</v>
      </c>
      <c r="M683" s="150">
        <f t="shared" si="51"/>
        <v>0</v>
      </c>
      <c r="N683" s="151">
        <f>+IF(OR($Q683=Parametres!$G$2,$Q683=Parametres!$G$3),I683,C683)</f>
        <v>0</v>
      </c>
      <c r="O683" s="151">
        <f>+IF(OR($Q683=Parametres!$G$2,$Q683=Parametres!$G$3),J683,D683)</f>
        <v>0</v>
      </c>
      <c r="P683" s="151">
        <f>+IF(OR($Q683=Parametres!$G$2,$Q683=Parametres!$G$3),K683,E683)</f>
        <v>0</v>
      </c>
      <c r="Q683" s="150">
        <f t="shared" si="52"/>
        <v>0</v>
      </c>
      <c r="R683" s="149">
        <f t="shared" si="53"/>
        <v>0</v>
      </c>
      <c r="S683" s="150">
        <f t="shared" si="54"/>
        <v>0</v>
      </c>
      <c r="T683" s="152" t="e">
        <f>+VLOOKUP($L683,Data_Validation!$A:$D,1,0)</f>
        <v>#N/A</v>
      </c>
      <c r="U683" s="152" t="e">
        <f>+VLOOKUP($L683,Data_Validation!$A:$D,3,0)</f>
        <v>#N/A</v>
      </c>
      <c r="V683" s="152" t="e">
        <f>+VLOOKUP($L683,Data_Validation!$A:$D,4,0)</f>
        <v>#N/A</v>
      </c>
      <c r="W683" s="152" t="e">
        <f>+VLOOKUP($L683,Data_Validation!$A:$E,5,0)</f>
        <v>#N/A</v>
      </c>
      <c r="X683" s="152" t="e">
        <f>+VLOOKUP($L683,Data_Validation!$A:$F,6,0)</f>
        <v>#N/A</v>
      </c>
    </row>
    <row r="684" spans="1:24" ht="15.75" customHeight="1">
      <c r="A684" s="662"/>
      <c r="B684" s="662"/>
      <c r="C684" s="663"/>
      <c r="D684" s="663"/>
      <c r="E684" s="663"/>
      <c r="F684" s="662"/>
      <c r="G684" s="662"/>
      <c r="H684" s="657"/>
      <c r="I684" s="656"/>
      <c r="J684" s="656"/>
      <c r="K684" s="656"/>
      <c r="L684" s="149">
        <f t="shared" si="50"/>
        <v>0</v>
      </c>
      <c r="M684" s="150">
        <f t="shared" si="51"/>
        <v>0</v>
      </c>
      <c r="N684" s="151">
        <f>+IF(OR($Q684=Parametres!$G$2,$Q684=Parametres!$G$3),I684,C684)</f>
        <v>0</v>
      </c>
      <c r="O684" s="151">
        <f>+IF(OR($Q684=Parametres!$G$2,$Q684=Parametres!$G$3),J684,D684)</f>
        <v>0</v>
      </c>
      <c r="P684" s="151">
        <f>+IF(OR($Q684=Parametres!$G$2,$Q684=Parametres!$G$3),K684,E684)</f>
        <v>0</v>
      </c>
      <c r="Q684" s="150">
        <f t="shared" si="52"/>
        <v>0</v>
      </c>
      <c r="R684" s="149">
        <f t="shared" si="53"/>
        <v>0</v>
      </c>
      <c r="S684" s="150">
        <f t="shared" si="54"/>
        <v>0</v>
      </c>
      <c r="T684" s="152" t="e">
        <f>+VLOOKUP($L684,Data_Validation!$A:$D,1,0)</f>
        <v>#N/A</v>
      </c>
      <c r="U684" s="152" t="e">
        <f>+VLOOKUP($L684,Data_Validation!$A:$D,3,0)</f>
        <v>#N/A</v>
      </c>
      <c r="V684" s="152" t="e">
        <f>+VLOOKUP($L684,Data_Validation!$A:$D,4,0)</f>
        <v>#N/A</v>
      </c>
      <c r="W684" s="152" t="e">
        <f>+VLOOKUP($L684,Data_Validation!$A:$E,5,0)</f>
        <v>#N/A</v>
      </c>
      <c r="X684" s="152" t="e">
        <f>+VLOOKUP($L684,Data_Validation!$A:$F,6,0)</f>
        <v>#N/A</v>
      </c>
    </row>
    <row r="685" spans="1:24" ht="15.75" customHeight="1">
      <c r="A685" s="662"/>
      <c r="B685" s="662"/>
      <c r="C685" s="663"/>
      <c r="D685" s="663"/>
      <c r="E685" s="663"/>
      <c r="F685" s="662"/>
      <c r="G685" s="662"/>
      <c r="H685" s="657"/>
      <c r="I685" s="656"/>
      <c r="J685" s="656"/>
      <c r="K685" s="656"/>
      <c r="L685" s="149">
        <f t="shared" si="50"/>
        <v>0</v>
      </c>
      <c r="M685" s="150">
        <f t="shared" si="51"/>
        <v>0</v>
      </c>
      <c r="N685" s="151">
        <f>+IF(OR($Q685=Parametres!$G$2,$Q685=Parametres!$G$3),I685,C685)</f>
        <v>0</v>
      </c>
      <c r="O685" s="151">
        <f>+IF(OR($Q685=Parametres!$G$2,$Q685=Parametres!$G$3),J685,D685)</f>
        <v>0</v>
      </c>
      <c r="P685" s="151">
        <f>+IF(OR($Q685=Parametres!$G$2,$Q685=Parametres!$G$3),K685,E685)</f>
        <v>0</v>
      </c>
      <c r="Q685" s="150">
        <f t="shared" si="52"/>
        <v>0</v>
      </c>
      <c r="R685" s="149">
        <f t="shared" si="53"/>
        <v>0</v>
      </c>
      <c r="S685" s="150">
        <f t="shared" si="54"/>
        <v>0</v>
      </c>
      <c r="T685" s="152" t="e">
        <f>+VLOOKUP($L685,Data_Validation!$A:$D,1,0)</f>
        <v>#N/A</v>
      </c>
      <c r="U685" s="152" t="e">
        <f>+VLOOKUP($L685,Data_Validation!$A:$D,3,0)</f>
        <v>#N/A</v>
      </c>
      <c r="V685" s="152" t="e">
        <f>+VLOOKUP($L685,Data_Validation!$A:$D,4,0)</f>
        <v>#N/A</v>
      </c>
      <c r="W685" s="152" t="e">
        <f>+VLOOKUP($L685,Data_Validation!$A:$E,5,0)</f>
        <v>#N/A</v>
      </c>
      <c r="X685" s="152" t="e">
        <f>+VLOOKUP($L685,Data_Validation!$A:$F,6,0)</f>
        <v>#N/A</v>
      </c>
    </row>
    <row r="686" spans="1:24" ht="15.75" customHeight="1">
      <c r="A686" s="662"/>
      <c r="B686" s="662"/>
      <c r="C686" s="663"/>
      <c r="D686" s="663"/>
      <c r="E686" s="663"/>
      <c r="F686" s="662"/>
      <c r="G686" s="662"/>
      <c r="H686" s="657"/>
      <c r="I686" s="656"/>
      <c r="J686" s="656"/>
      <c r="K686" s="656"/>
      <c r="L686" s="149">
        <f t="shared" si="50"/>
        <v>0</v>
      </c>
      <c r="M686" s="150">
        <f t="shared" si="51"/>
        <v>0</v>
      </c>
      <c r="N686" s="151">
        <f>+IF(OR($Q686=Parametres!$G$2,$Q686=Parametres!$G$3),I686,C686)</f>
        <v>0</v>
      </c>
      <c r="O686" s="151">
        <f>+IF(OR($Q686=Parametres!$G$2,$Q686=Parametres!$G$3),J686,D686)</f>
        <v>0</v>
      </c>
      <c r="P686" s="151">
        <f>+IF(OR($Q686=Parametres!$G$2,$Q686=Parametres!$G$3),K686,E686)</f>
        <v>0</v>
      </c>
      <c r="Q686" s="150">
        <f t="shared" si="52"/>
        <v>0</v>
      </c>
      <c r="R686" s="149">
        <f t="shared" si="53"/>
        <v>0</v>
      </c>
      <c r="S686" s="150">
        <f t="shared" si="54"/>
        <v>0</v>
      </c>
      <c r="T686" s="152" t="e">
        <f>+VLOOKUP($L686,Data_Validation!$A:$D,1,0)</f>
        <v>#N/A</v>
      </c>
      <c r="U686" s="152" t="e">
        <f>+VLOOKUP($L686,Data_Validation!$A:$D,3,0)</f>
        <v>#N/A</v>
      </c>
      <c r="V686" s="152" t="e">
        <f>+VLOOKUP($L686,Data_Validation!$A:$D,4,0)</f>
        <v>#N/A</v>
      </c>
      <c r="W686" s="152" t="e">
        <f>+VLOOKUP($L686,Data_Validation!$A:$E,5,0)</f>
        <v>#N/A</v>
      </c>
      <c r="X686" s="152" t="e">
        <f>+VLOOKUP($L686,Data_Validation!$A:$F,6,0)</f>
        <v>#N/A</v>
      </c>
    </row>
    <row r="687" spans="1:24" ht="15.75" customHeight="1">
      <c r="A687" s="662"/>
      <c r="B687" s="662"/>
      <c r="C687" s="663"/>
      <c r="D687" s="663"/>
      <c r="E687" s="663"/>
      <c r="F687" s="662"/>
      <c r="G687" s="662"/>
      <c r="H687" s="657"/>
      <c r="I687" s="656"/>
      <c r="J687" s="656"/>
      <c r="K687" s="656"/>
      <c r="L687" s="149">
        <f t="shared" si="50"/>
        <v>0</v>
      </c>
      <c r="M687" s="150">
        <f t="shared" si="51"/>
        <v>0</v>
      </c>
      <c r="N687" s="151">
        <f>+IF(OR($Q687=Parametres!$G$2,$Q687=Parametres!$G$3),I687,C687)</f>
        <v>0</v>
      </c>
      <c r="O687" s="472">
        <f>+IF(OR($Q687=Parametres!$G$2,$Q687=Parametres!$G$3),J687,D687)</f>
        <v>0</v>
      </c>
      <c r="P687" s="151">
        <f>+IF(OR($Q687=Parametres!$G$2,$Q687=Parametres!$G$3),K687,E687)</f>
        <v>0</v>
      </c>
      <c r="Q687" s="150">
        <f t="shared" si="52"/>
        <v>0</v>
      </c>
      <c r="R687" s="149">
        <f t="shared" si="53"/>
        <v>0</v>
      </c>
      <c r="S687" s="150">
        <f t="shared" si="54"/>
        <v>0</v>
      </c>
      <c r="T687" s="152" t="e">
        <f>+VLOOKUP($L687,Data_Validation!$A:$D,1,0)</f>
        <v>#N/A</v>
      </c>
      <c r="U687" s="152" t="e">
        <f>+VLOOKUP($L687,Data_Validation!$A:$D,3,0)</f>
        <v>#N/A</v>
      </c>
      <c r="V687" s="152" t="e">
        <f>+VLOOKUP($L687,Data_Validation!$A:$D,4,0)</f>
        <v>#N/A</v>
      </c>
      <c r="W687" s="152" t="e">
        <f>+VLOOKUP($L687,Data_Validation!$A:$E,5,0)</f>
        <v>#N/A</v>
      </c>
      <c r="X687" s="152" t="e">
        <f>+VLOOKUP($L687,Data_Validation!$A:$F,6,0)</f>
        <v>#N/A</v>
      </c>
    </row>
    <row r="688" spans="1:24" ht="15.75" customHeight="1">
      <c r="A688" s="662"/>
      <c r="B688" s="662"/>
      <c r="C688" s="663"/>
      <c r="D688" s="663"/>
      <c r="E688" s="663"/>
      <c r="F688" s="662"/>
      <c r="G688" s="662"/>
      <c r="H688" s="657"/>
      <c r="I688" s="656"/>
      <c r="J688" s="656"/>
      <c r="K688" s="656"/>
      <c r="L688" s="149">
        <f t="shared" si="50"/>
        <v>0</v>
      </c>
      <c r="M688" s="150">
        <f t="shared" si="51"/>
        <v>0</v>
      </c>
      <c r="N688" s="151">
        <f>+IF(OR($Q688=Parametres!$G$2,$Q688=Parametres!$G$3),I688,C688)</f>
        <v>0</v>
      </c>
      <c r="O688" s="151">
        <f>+IF(OR($Q688=Parametres!$G$2,$Q688=Parametres!$G$3),J688,D688)</f>
        <v>0</v>
      </c>
      <c r="P688" s="151">
        <f>+IF(OR($Q688=Parametres!$G$2,$Q688=Parametres!$G$3),K688,E688)</f>
        <v>0</v>
      </c>
      <c r="Q688" s="150">
        <f t="shared" si="52"/>
        <v>0</v>
      </c>
      <c r="R688" s="149">
        <f t="shared" si="53"/>
        <v>0</v>
      </c>
      <c r="S688" s="150">
        <f t="shared" si="54"/>
        <v>0</v>
      </c>
      <c r="T688" s="152" t="e">
        <f>+VLOOKUP($L688,Data_Validation!$A:$D,1,0)</f>
        <v>#N/A</v>
      </c>
      <c r="U688" s="152" t="e">
        <f>+VLOOKUP($L688,Data_Validation!$A:$D,3,0)</f>
        <v>#N/A</v>
      </c>
      <c r="V688" s="152" t="e">
        <f>+VLOOKUP($L688,Data_Validation!$A:$D,4,0)</f>
        <v>#N/A</v>
      </c>
      <c r="W688" s="152" t="e">
        <f>+VLOOKUP($L688,Data_Validation!$A:$E,5,0)</f>
        <v>#N/A</v>
      </c>
      <c r="X688" s="152" t="e">
        <f>+VLOOKUP($L688,Data_Validation!$A:$F,6,0)</f>
        <v>#N/A</v>
      </c>
    </row>
    <row r="689" spans="1:24" ht="15.75" customHeight="1">
      <c r="A689" s="662"/>
      <c r="B689" s="662"/>
      <c r="C689" s="663"/>
      <c r="D689" s="663"/>
      <c r="E689" s="663"/>
      <c r="F689" s="662"/>
      <c r="G689" s="662"/>
      <c r="H689" s="657"/>
      <c r="I689" s="656"/>
      <c r="J689" s="656"/>
      <c r="K689" s="656"/>
      <c r="L689" s="149">
        <f t="shared" si="50"/>
        <v>0</v>
      </c>
      <c r="M689" s="150">
        <f t="shared" si="51"/>
        <v>0</v>
      </c>
      <c r="N689" s="151">
        <f>+IF(OR($Q689=Parametres!$G$2,$Q689=Parametres!$G$3),I689,C689)</f>
        <v>0</v>
      </c>
      <c r="O689" s="151">
        <f>+IF(OR($Q689=Parametres!$G$2,$Q689=Parametres!$G$3),J689,D689)</f>
        <v>0</v>
      </c>
      <c r="P689" s="151">
        <f>+IF(OR($Q689=Parametres!$G$2,$Q689=Parametres!$G$3),K689,E689)</f>
        <v>0</v>
      </c>
      <c r="Q689" s="150">
        <f t="shared" si="52"/>
        <v>0</v>
      </c>
      <c r="R689" s="149">
        <f t="shared" si="53"/>
        <v>0</v>
      </c>
      <c r="S689" s="150">
        <f t="shared" si="54"/>
        <v>0</v>
      </c>
      <c r="T689" s="152" t="e">
        <f>+VLOOKUP($L689,Data_Validation!$A:$D,1,0)</f>
        <v>#N/A</v>
      </c>
      <c r="U689" s="152" t="e">
        <f>+VLOOKUP($L689,Data_Validation!$A:$D,3,0)</f>
        <v>#N/A</v>
      </c>
      <c r="V689" s="152" t="e">
        <f>+VLOOKUP($L689,Data_Validation!$A:$D,4,0)</f>
        <v>#N/A</v>
      </c>
      <c r="W689" s="152" t="e">
        <f>+VLOOKUP($L689,Data_Validation!$A:$E,5,0)</f>
        <v>#N/A</v>
      </c>
      <c r="X689" s="152" t="e">
        <f>+VLOOKUP($L689,Data_Validation!$A:$F,6,0)</f>
        <v>#N/A</v>
      </c>
    </row>
    <row r="690" spans="1:24" ht="15.75" customHeight="1">
      <c r="A690" s="662"/>
      <c r="B690" s="662"/>
      <c r="C690" s="663"/>
      <c r="D690" s="663"/>
      <c r="E690" s="663"/>
      <c r="F690" s="662"/>
      <c r="G690" s="662"/>
      <c r="H690" s="657"/>
      <c r="I690" s="656"/>
      <c r="J690" s="656"/>
      <c r="K690" s="656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62"/>
      <c r="B691" s="662"/>
      <c r="C691" s="663"/>
      <c r="D691" s="663"/>
      <c r="E691" s="663"/>
      <c r="F691" s="662"/>
      <c r="G691" s="662"/>
      <c r="H691" s="657"/>
      <c r="I691" s="656"/>
      <c r="J691" s="656"/>
      <c r="K691" s="656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62"/>
      <c r="B692" s="662"/>
      <c r="C692" s="663"/>
      <c r="D692" s="663"/>
      <c r="E692" s="663"/>
      <c r="F692" s="662"/>
      <c r="G692" s="662"/>
      <c r="H692" s="657"/>
      <c r="I692" s="656"/>
      <c r="J692" s="656"/>
      <c r="K692" s="656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62"/>
      <c r="B693" s="662"/>
      <c r="C693" s="663"/>
      <c r="D693" s="663"/>
      <c r="E693" s="663"/>
      <c r="F693" s="662"/>
      <c r="G693" s="662"/>
      <c r="H693" s="657"/>
      <c r="I693" s="656"/>
      <c r="J693" s="656"/>
      <c r="K693" s="656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62"/>
      <c r="B694" s="662"/>
      <c r="C694" s="663"/>
      <c r="D694" s="663"/>
      <c r="E694" s="663"/>
      <c r="F694" s="662"/>
      <c r="G694" s="662"/>
      <c r="H694" s="657"/>
      <c r="I694" s="656"/>
      <c r="J694" s="656"/>
      <c r="K694" s="656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62"/>
      <c r="B695" s="662"/>
      <c r="C695" s="663"/>
      <c r="D695" s="663"/>
      <c r="E695" s="663"/>
      <c r="F695" s="662"/>
      <c r="G695" s="662"/>
      <c r="H695" s="657"/>
      <c r="I695" s="656"/>
      <c r="J695" s="656"/>
      <c r="K695" s="656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62"/>
      <c r="B696" s="662"/>
      <c r="C696" s="663"/>
      <c r="D696" s="663"/>
      <c r="E696" s="663"/>
      <c r="F696" s="662"/>
      <c r="G696" s="662"/>
      <c r="H696" s="657"/>
      <c r="I696" s="656"/>
      <c r="J696" s="656"/>
      <c r="K696" s="656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62"/>
      <c r="B697" s="662"/>
      <c r="C697" s="663"/>
      <c r="D697" s="663"/>
      <c r="E697" s="663"/>
      <c r="F697" s="662"/>
      <c r="G697" s="662"/>
      <c r="H697" s="657"/>
      <c r="I697" s="656"/>
      <c r="J697" s="656"/>
      <c r="K697" s="656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  <c r="X697" s="152" t="e">
        <f>+VLOOKUP($L697,Data_Validation!$A:$F,6,0)</f>
        <v>#N/A</v>
      </c>
    </row>
    <row r="698" spans="1:24" ht="15.75" customHeight="1">
      <c r="A698" s="662"/>
      <c r="B698" s="662"/>
      <c r="C698" s="663"/>
      <c r="D698" s="663"/>
      <c r="E698" s="663"/>
      <c r="F698" s="662"/>
      <c r="G698" s="662"/>
      <c r="H698" s="657"/>
      <c r="I698" s="656"/>
      <c r="J698" s="656"/>
      <c r="K698" s="656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  <c r="X698" s="152" t="e">
        <f>+VLOOKUP($L698,Data_Validation!$A:$F,6,0)</f>
        <v>#N/A</v>
      </c>
    </row>
    <row r="699" spans="1:24" ht="15.75" customHeight="1">
      <c r="A699" s="662"/>
      <c r="B699" s="662"/>
      <c r="C699" s="663"/>
      <c r="D699" s="663"/>
      <c r="E699" s="663"/>
      <c r="F699" s="662"/>
      <c r="G699" s="662"/>
      <c r="H699" s="657"/>
      <c r="I699" s="656"/>
      <c r="J699" s="656"/>
      <c r="K699" s="656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  <c r="X699" s="152" t="e">
        <f>+VLOOKUP($L699,Data_Validation!$A:$F,6,0)</f>
        <v>#N/A</v>
      </c>
    </row>
    <row r="700" spans="1:24" ht="15.75" customHeight="1">
      <c r="A700" s="662"/>
      <c r="B700" s="662"/>
      <c r="C700" s="663"/>
      <c r="D700" s="663"/>
      <c r="E700" s="663"/>
      <c r="F700" s="662"/>
      <c r="G700" s="662"/>
      <c r="H700" s="657"/>
      <c r="I700" s="656"/>
      <c r="J700" s="656"/>
      <c r="K700" s="656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  <c r="X700" s="152" t="e">
        <f>+VLOOKUP($L700,Data_Validation!$A:$F,6,0)</f>
        <v>#N/A</v>
      </c>
    </row>
    <row r="701" spans="1:24" ht="15.75" customHeight="1">
      <c r="A701" s="662"/>
      <c r="B701" s="662"/>
      <c r="C701" s="663"/>
      <c r="D701" s="663"/>
      <c r="E701" s="663"/>
      <c r="F701" s="662"/>
      <c r="G701" s="662"/>
      <c r="H701" s="657"/>
      <c r="I701" s="656"/>
      <c r="J701" s="656"/>
      <c r="K701" s="656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  <c r="X701" s="152" t="e">
        <f>+VLOOKUP($L701,Data_Validation!$A:$F,6,0)</f>
        <v>#N/A</v>
      </c>
    </row>
    <row r="702" spans="1:24" ht="15.75" customHeight="1">
      <c r="A702" s="662"/>
      <c r="B702" s="662"/>
      <c r="C702" s="663"/>
      <c r="D702" s="663"/>
      <c r="E702" s="663"/>
      <c r="F702" s="662"/>
      <c r="G702" s="662"/>
      <c r="H702" s="657"/>
      <c r="I702" s="656"/>
      <c r="J702" s="656"/>
      <c r="K702" s="656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  <c r="X702" s="152" t="e">
        <f>+VLOOKUP($L702,Data_Validation!$A:$F,6,0)</f>
        <v>#N/A</v>
      </c>
    </row>
    <row r="703" spans="1:24" ht="15.75" customHeight="1">
      <c r="A703" s="662"/>
      <c r="B703" s="662"/>
      <c r="C703" s="663"/>
      <c r="D703" s="663"/>
      <c r="E703" s="663"/>
      <c r="F703" s="662"/>
      <c r="G703" s="662"/>
      <c r="H703" s="657"/>
      <c r="I703" s="656"/>
      <c r="J703" s="656"/>
      <c r="K703" s="656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  <c r="X703" s="152" t="e">
        <f>+VLOOKUP($L703,Data_Validation!$A:$F,6,0)</f>
        <v>#N/A</v>
      </c>
    </row>
    <row r="704" spans="1:24" ht="15.75" customHeight="1">
      <c r="A704" s="662"/>
      <c r="B704" s="662"/>
      <c r="C704" s="663"/>
      <c r="D704" s="663"/>
      <c r="E704" s="663"/>
      <c r="F704" s="662"/>
      <c r="G704" s="662"/>
      <c r="H704" s="657"/>
      <c r="I704" s="656"/>
      <c r="J704" s="656"/>
      <c r="K704" s="656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  <c r="X704" s="152" t="e">
        <f>+VLOOKUP($L704,Data_Validation!$A:$F,6,0)</f>
        <v>#N/A</v>
      </c>
    </row>
    <row r="705" spans="1:24" ht="15.75" customHeight="1">
      <c r="A705" s="662"/>
      <c r="B705" s="662"/>
      <c r="C705" s="663"/>
      <c r="D705" s="663"/>
      <c r="E705" s="663"/>
      <c r="F705" s="662"/>
      <c r="G705" s="662"/>
      <c r="H705" s="657"/>
      <c r="I705" s="656"/>
      <c r="J705" s="656"/>
      <c r="K705" s="656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  <c r="X705" s="152" t="e">
        <f>+VLOOKUP($L705,Data_Validation!$A:$F,6,0)</f>
        <v>#N/A</v>
      </c>
    </row>
    <row r="706" spans="1:24" ht="15.75" customHeight="1">
      <c r="A706" s="662"/>
      <c r="B706" s="662"/>
      <c r="C706" s="663"/>
      <c r="D706" s="663"/>
      <c r="E706" s="663"/>
      <c r="F706" s="662"/>
      <c r="G706" s="662"/>
      <c r="H706" s="657"/>
      <c r="I706" s="656"/>
      <c r="J706" s="656"/>
      <c r="K706" s="656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  <c r="X706" s="152" t="e">
        <f>+VLOOKUP($L706,Data_Validation!$A:$F,6,0)</f>
        <v>#N/A</v>
      </c>
    </row>
    <row r="707" spans="1:24" ht="15.75" customHeight="1">
      <c r="A707" s="662"/>
      <c r="B707" s="662"/>
      <c r="C707" s="663"/>
      <c r="D707" s="663"/>
      <c r="E707" s="663"/>
      <c r="F707" s="662"/>
      <c r="G707" s="662"/>
      <c r="H707" s="657"/>
      <c r="I707" s="656"/>
      <c r="J707" s="656"/>
      <c r="K707" s="656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  <c r="X707" s="152" t="e">
        <f>+VLOOKUP($L707,Data_Validation!$A:$F,6,0)</f>
        <v>#N/A</v>
      </c>
    </row>
    <row r="708" spans="1:24" ht="15.75" customHeight="1">
      <c r="A708" s="662"/>
      <c r="B708" s="662"/>
      <c r="C708" s="663"/>
      <c r="D708" s="663"/>
      <c r="E708" s="663"/>
      <c r="F708" s="662"/>
      <c r="G708" s="662"/>
      <c r="H708" s="657"/>
      <c r="I708" s="656"/>
      <c r="J708" s="656"/>
      <c r="K708" s="656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  <c r="X708" s="152" t="e">
        <f>+VLOOKUP($L708,Data_Validation!$A:$F,6,0)</f>
        <v>#N/A</v>
      </c>
    </row>
    <row r="709" spans="1:24" ht="15.75" customHeight="1">
      <c r="A709" s="662"/>
      <c r="B709" s="662"/>
      <c r="C709" s="663"/>
      <c r="D709" s="663"/>
      <c r="E709" s="663"/>
      <c r="F709" s="662"/>
      <c r="G709" s="662"/>
      <c r="H709" s="657"/>
      <c r="I709" s="656"/>
      <c r="J709" s="656"/>
      <c r="K709" s="656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  <c r="X709" s="152" t="e">
        <f>+VLOOKUP($L709,Data_Validation!$A:$F,6,0)</f>
        <v>#N/A</v>
      </c>
    </row>
    <row r="710" spans="1:24" ht="15.75" customHeight="1">
      <c r="A710" s="662"/>
      <c r="B710" s="662"/>
      <c r="C710" s="663"/>
      <c r="D710" s="663"/>
      <c r="E710" s="663"/>
      <c r="F710" s="662"/>
      <c r="G710" s="662"/>
      <c r="H710" s="657"/>
      <c r="I710" s="656"/>
      <c r="J710" s="656"/>
      <c r="K710" s="656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  <c r="X710" s="152" t="e">
        <f>+VLOOKUP($L710,Data_Validation!$A:$F,6,0)</f>
        <v>#N/A</v>
      </c>
    </row>
    <row r="711" spans="1:24" ht="15.75" customHeight="1">
      <c r="A711" s="662"/>
      <c r="B711" s="662"/>
      <c r="C711" s="663"/>
      <c r="D711" s="663"/>
      <c r="E711" s="663"/>
      <c r="F711" s="662"/>
      <c r="G711" s="662"/>
      <c r="H711" s="657"/>
      <c r="I711" s="656"/>
      <c r="J711" s="656"/>
      <c r="K711" s="656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  <c r="X711" s="152" t="e">
        <f>+VLOOKUP($L711,Data_Validation!$A:$F,6,0)</f>
        <v>#N/A</v>
      </c>
    </row>
    <row r="712" spans="1:24" ht="15.75" customHeight="1">
      <c r="A712" s="662"/>
      <c r="B712" s="662"/>
      <c r="C712" s="663"/>
      <c r="D712" s="663"/>
      <c r="E712" s="663"/>
      <c r="F712" s="662"/>
      <c r="G712" s="662"/>
      <c r="H712" s="657"/>
      <c r="I712" s="656"/>
      <c r="J712" s="656"/>
      <c r="K712" s="656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  <c r="X712" s="152" t="e">
        <f>+VLOOKUP($L712,Data_Validation!$A:$F,6,0)</f>
        <v>#N/A</v>
      </c>
    </row>
    <row r="713" spans="1:24" ht="15.75" customHeight="1">
      <c r="A713" s="662"/>
      <c r="B713" s="662"/>
      <c r="C713" s="663"/>
      <c r="D713" s="663"/>
      <c r="E713" s="663"/>
      <c r="F713" s="662"/>
      <c r="G713" s="662"/>
      <c r="H713" s="657"/>
      <c r="I713" s="656"/>
      <c r="J713" s="656"/>
      <c r="K713" s="656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  <c r="X713" s="152" t="e">
        <f>+VLOOKUP($L713,Data_Validation!$A:$F,6,0)</f>
        <v>#N/A</v>
      </c>
    </row>
    <row r="714" spans="1:24" ht="15.75" customHeight="1">
      <c r="A714" s="662"/>
      <c r="B714" s="662"/>
      <c r="C714" s="663"/>
      <c r="D714" s="663"/>
      <c r="E714" s="663"/>
      <c r="F714" s="662"/>
      <c r="G714" s="662"/>
      <c r="H714" s="657"/>
      <c r="I714" s="657"/>
      <c r="J714" s="657"/>
      <c r="K714" s="657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  <c r="X714" s="152" t="e">
        <f>+VLOOKUP($L714,Data_Validation!$A:$F,6,0)</f>
        <v>#N/A</v>
      </c>
    </row>
    <row r="715" spans="1:24" ht="15.75" customHeight="1">
      <c r="A715" s="662"/>
      <c r="B715" s="662"/>
      <c r="C715" s="663"/>
      <c r="D715" s="663"/>
      <c r="E715" s="663"/>
      <c r="F715" s="662"/>
      <c r="G715" s="662"/>
      <c r="H715" s="657"/>
      <c r="I715" s="657"/>
      <c r="J715" s="657"/>
      <c r="K715" s="657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62"/>
      <c r="B716" s="662"/>
      <c r="C716" s="663"/>
      <c r="D716" s="663"/>
      <c r="E716" s="663"/>
      <c r="F716" s="662"/>
      <c r="G716" s="662"/>
      <c r="H716" s="657"/>
      <c r="I716" s="657"/>
      <c r="J716" s="657"/>
      <c r="K716" s="657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62"/>
      <c r="B717" s="662"/>
      <c r="C717" s="663"/>
      <c r="D717" s="663"/>
      <c r="E717" s="663"/>
      <c r="F717" s="662"/>
      <c r="G717" s="662"/>
      <c r="H717" s="657"/>
      <c r="I717" s="657"/>
      <c r="J717" s="657"/>
      <c r="K717" s="657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62"/>
      <c r="B718" s="662"/>
      <c r="C718" s="663"/>
      <c r="D718" s="663"/>
      <c r="E718" s="663"/>
      <c r="F718" s="662"/>
      <c r="G718" s="662"/>
      <c r="H718" s="657"/>
      <c r="I718" s="657"/>
      <c r="J718" s="657"/>
      <c r="K718" s="657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4" ht="15.75" customHeight="1">
      <c r="A719" s="662"/>
      <c r="B719" s="662"/>
      <c r="C719" s="663"/>
      <c r="D719" s="663"/>
      <c r="E719" s="663"/>
      <c r="F719" s="662"/>
      <c r="G719" s="662"/>
      <c r="H719" s="657"/>
      <c r="I719" s="657"/>
      <c r="J719" s="657"/>
      <c r="K719" s="657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4" ht="15.75" customHeight="1">
      <c r="A720" s="662"/>
      <c r="B720" s="662"/>
      <c r="C720" s="663"/>
      <c r="D720" s="663"/>
      <c r="E720" s="663"/>
      <c r="F720" s="662"/>
      <c r="G720" s="662"/>
      <c r="H720" s="657"/>
      <c r="I720" s="657"/>
      <c r="J720" s="657"/>
      <c r="K720" s="657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4" ht="15.75" customHeight="1">
      <c r="A721" s="662"/>
      <c r="B721" s="662"/>
      <c r="C721" s="663"/>
      <c r="D721" s="663"/>
      <c r="E721" s="663"/>
      <c r="F721" s="662"/>
      <c r="G721" s="662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4" ht="15.75" customHeight="1">
      <c r="A722" s="662"/>
      <c r="B722" s="662"/>
      <c r="C722" s="663"/>
      <c r="D722" s="663"/>
      <c r="E722" s="663"/>
      <c r="F722" s="662"/>
      <c r="G722" s="662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4" ht="15.75" customHeight="1">
      <c r="A723" s="662"/>
      <c r="B723" s="662"/>
      <c r="C723" s="663"/>
      <c r="D723" s="663"/>
      <c r="E723" s="663"/>
      <c r="F723" s="662"/>
      <c r="G723" s="662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4" ht="15.75" customHeight="1">
      <c r="A724" s="662"/>
      <c r="B724" s="662"/>
      <c r="C724" s="663"/>
      <c r="D724" s="663"/>
      <c r="E724" s="663"/>
      <c r="F724" s="662"/>
      <c r="G724" s="662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4" ht="15.75" customHeight="1">
      <c r="A725" s="662"/>
      <c r="B725" s="662"/>
      <c r="C725" s="663"/>
      <c r="D725" s="663"/>
      <c r="E725" s="663"/>
      <c r="F725" s="662"/>
      <c r="G725" s="662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4" ht="15.75" customHeight="1">
      <c r="A726" s="662"/>
      <c r="B726" s="662"/>
      <c r="C726" s="663"/>
      <c r="D726" s="663"/>
      <c r="E726" s="663"/>
      <c r="F726" s="662"/>
      <c r="G726" s="662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4" ht="15.75" customHeight="1">
      <c r="A727" s="662"/>
      <c r="B727" s="662"/>
      <c r="C727" s="663"/>
      <c r="D727" s="663"/>
      <c r="E727" s="663"/>
      <c r="F727" s="662"/>
      <c r="G727" s="662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4" ht="15.75" customHeight="1">
      <c r="A728" s="662"/>
      <c r="B728" s="662"/>
      <c r="C728" s="663"/>
      <c r="D728" s="663"/>
      <c r="E728" s="663"/>
      <c r="F728" s="662"/>
      <c r="G728" s="662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4" ht="15.75" customHeight="1">
      <c r="A729" s="662"/>
      <c r="B729" s="662"/>
      <c r="C729" s="663"/>
      <c r="D729" s="663"/>
      <c r="E729" s="663"/>
      <c r="F729" s="662"/>
      <c r="G729" s="662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4" ht="15.75" customHeight="1">
      <c r="A730" s="662"/>
      <c r="B730" s="662"/>
      <c r="C730" s="663"/>
      <c r="D730" s="663"/>
      <c r="E730" s="663"/>
      <c r="F730" s="662"/>
      <c r="G730" s="662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4" ht="15.75" customHeight="1">
      <c r="A731" s="662"/>
      <c r="B731" s="662"/>
      <c r="C731" s="663"/>
      <c r="D731" s="663"/>
      <c r="E731" s="663"/>
      <c r="F731" s="662"/>
      <c r="G731" s="662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4" ht="15.75" customHeight="1">
      <c r="A732" s="662"/>
      <c r="B732" s="662"/>
      <c r="C732" s="663"/>
      <c r="D732" s="663"/>
      <c r="E732" s="663"/>
      <c r="F732" s="662"/>
      <c r="G732" s="662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4" ht="15.75" customHeight="1">
      <c r="A733" s="662"/>
      <c r="B733" s="662"/>
      <c r="C733" s="663"/>
      <c r="D733" s="663"/>
      <c r="E733" s="663"/>
      <c r="F733" s="662"/>
      <c r="G733" s="662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4" ht="15.75" customHeight="1">
      <c r="A734" s="662"/>
      <c r="B734" s="662"/>
      <c r="C734" s="663"/>
      <c r="D734" s="663"/>
      <c r="E734" s="663"/>
      <c r="F734" s="662"/>
      <c r="G734" s="662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4" ht="15.75" customHeight="1">
      <c r="A735" s="662"/>
      <c r="B735" s="662"/>
      <c r="C735" s="663"/>
      <c r="D735" s="663"/>
      <c r="E735" s="663"/>
      <c r="F735" s="662"/>
      <c r="G735" s="662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4" ht="15.75" customHeight="1">
      <c r="A736" s="662"/>
      <c r="B736" s="662"/>
      <c r="C736" s="663"/>
      <c r="D736" s="663"/>
      <c r="E736" s="663"/>
      <c r="F736" s="662"/>
      <c r="G736" s="662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62"/>
      <c r="B737" s="662"/>
      <c r="C737" s="663"/>
      <c r="D737" s="663"/>
      <c r="E737" s="663"/>
      <c r="F737" s="662"/>
      <c r="G737" s="662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4" ht="15.75" customHeight="1">
      <c r="A738" s="662"/>
      <c r="B738" s="662"/>
      <c r="C738" s="663"/>
      <c r="D738" s="663"/>
      <c r="E738" s="663"/>
      <c r="F738" s="662"/>
      <c r="G738" s="662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4" ht="15.75" customHeight="1">
      <c r="A739" s="662"/>
      <c r="B739" s="662"/>
      <c r="C739" s="663"/>
      <c r="D739" s="663"/>
      <c r="E739" s="663"/>
      <c r="F739" s="662"/>
      <c r="G739" s="662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4" ht="15.75" customHeight="1">
      <c r="A740" s="662"/>
      <c r="B740" s="662"/>
      <c r="C740" s="663"/>
      <c r="D740" s="663"/>
      <c r="E740" s="663"/>
      <c r="F740" s="662"/>
      <c r="G740" s="662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4" ht="15.75" customHeight="1">
      <c r="A741" s="662"/>
      <c r="B741" s="662"/>
      <c r="C741" s="663"/>
      <c r="D741" s="663"/>
      <c r="E741" s="663"/>
      <c r="F741" s="662"/>
      <c r="G741" s="662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4" ht="15.75" customHeight="1">
      <c r="A742" s="662"/>
      <c r="B742" s="662"/>
      <c r="C742" s="663"/>
      <c r="D742" s="663"/>
      <c r="E742" s="663"/>
      <c r="F742" s="662"/>
      <c r="G742" s="662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62"/>
      <c r="B743" s="662"/>
      <c r="C743" s="663"/>
      <c r="D743" s="663"/>
      <c r="E743" s="663"/>
      <c r="F743" s="662"/>
      <c r="G743" s="662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4" ht="15.75" customHeight="1">
      <c r="A744" s="662"/>
      <c r="B744" s="662"/>
      <c r="C744" s="663"/>
      <c r="D744" s="663"/>
      <c r="E744" s="663"/>
      <c r="F744" s="662"/>
      <c r="G744" s="662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4" ht="15.75" customHeight="1">
      <c r="A745" s="662"/>
      <c r="B745" s="662"/>
      <c r="C745" s="663"/>
      <c r="D745" s="663"/>
      <c r="E745" s="663"/>
      <c r="F745" s="662"/>
      <c r="G745" s="662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4" ht="15.75" customHeight="1">
      <c r="A746" s="662"/>
      <c r="B746" s="662"/>
      <c r="C746" s="663"/>
      <c r="D746" s="663"/>
      <c r="E746" s="663"/>
      <c r="F746" s="662"/>
      <c r="G746" s="662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62"/>
      <c r="B747" s="662"/>
      <c r="C747" s="663"/>
      <c r="D747" s="663"/>
      <c r="E747" s="663"/>
      <c r="F747" s="662"/>
      <c r="G747" s="662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62"/>
      <c r="B748" s="662"/>
      <c r="C748" s="663"/>
      <c r="D748" s="663"/>
      <c r="E748" s="663"/>
      <c r="F748" s="662"/>
      <c r="G748" s="662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4" ht="15.75" customHeight="1">
      <c r="A749" s="662"/>
      <c r="B749" s="662"/>
      <c r="C749" s="663"/>
      <c r="D749" s="663"/>
      <c r="E749" s="663"/>
      <c r="F749" s="662"/>
      <c r="G749" s="662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4" ht="15.75" customHeight="1">
      <c r="A750" s="662"/>
      <c r="B750" s="662"/>
      <c r="C750" s="663"/>
      <c r="D750" s="663"/>
      <c r="E750" s="663"/>
      <c r="F750" s="662"/>
      <c r="G750" s="662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4" ht="15.75" customHeight="1">
      <c r="A751" s="662"/>
      <c r="B751" s="662"/>
      <c r="C751" s="663"/>
      <c r="D751" s="663"/>
      <c r="E751" s="663"/>
      <c r="F751" s="662"/>
      <c r="G751" s="662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4" ht="15.75" customHeight="1">
      <c r="A752" s="662"/>
      <c r="B752" s="662"/>
      <c r="C752" s="663"/>
      <c r="D752" s="663"/>
      <c r="E752" s="663"/>
      <c r="F752" s="662"/>
      <c r="G752" s="662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62"/>
      <c r="B753" s="662"/>
      <c r="C753" s="663"/>
      <c r="D753" s="663"/>
      <c r="E753" s="663"/>
      <c r="F753" s="662"/>
      <c r="G753" s="662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62"/>
      <c r="B754" s="662"/>
      <c r="C754" s="663"/>
      <c r="D754" s="663"/>
      <c r="E754" s="663"/>
      <c r="F754" s="662"/>
      <c r="G754" s="662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62"/>
      <c r="B755" s="662"/>
      <c r="C755" s="663"/>
      <c r="D755" s="663"/>
      <c r="E755" s="663"/>
      <c r="F755" s="662"/>
      <c r="G755" s="662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62"/>
      <c r="B756" s="662"/>
      <c r="C756" s="663"/>
      <c r="D756" s="663"/>
      <c r="E756" s="663"/>
      <c r="F756" s="662"/>
      <c r="G756" s="662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62"/>
      <c r="B757" s="662"/>
      <c r="C757" s="663"/>
      <c r="D757" s="663"/>
      <c r="E757" s="663"/>
      <c r="F757" s="662"/>
      <c r="G757" s="662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62"/>
      <c r="B758" s="662"/>
      <c r="C758" s="663"/>
      <c r="D758" s="663"/>
      <c r="E758" s="663"/>
      <c r="F758" s="662"/>
      <c r="G758" s="662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62"/>
      <c r="B759" s="662"/>
      <c r="C759" s="663"/>
      <c r="D759" s="663"/>
      <c r="E759" s="663"/>
      <c r="F759" s="662"/>
      <c r="G759" s="662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62"/>
      <c r="B760" s="662"/>
      <c r="C760" s="663"/>
      <c r="D760" s="663"/>
      <c r="E760" s="663"/>
      <c r="F760" s="662"/>
      <c r="G760" s="662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62"/>
      <c r="B761" s="662"/>
      <c r="C761" s="663"/>
      <c r="D761" s="663"/>
      <c r="E761" s="663"/>
      <c r="F761" s="662"/>
      <c r="G761" s="662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55"/>
      <c r="B762" s="655"/>
      <c r="C762" s="656"/>
      <c r="D762" s="656"/>
      <c r="E762" s="656"/>
      <c r="F762" s="655"/>
      <c r="G762" s="655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55"/>
      <c r="B763" s="655"/>
      <c r="C763" s="656"/>
      <c r="D763" s="656"/>
      <c r="E763" s="656"/>
      <c r="F763" s="655"/>
      <c r="G763" s="655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55"/>
      <c r="B764" s="655"/>
      <c r="C764" s="656"/>
      <c r="D764" s="656"/>
      <c r="E764" s="656"/>
      <c r="F764" s="655"/>
      <c r="G764" s="655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55"/>
      <c r="B765" s="655"/>
      <c r="C765" s="656"/>
      <c r="D765" s="656"/>
      <c r="E765" s="656"/>
      <c r="F765" s="655"/>
      <c r="G765" s="655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55"/>
      <c r="B766" s="655"/>
      <c r="C766" s="656"/>
      <c r="D766" s="656"/>
      <c r="E766" s="656"/>
      <c r="F766" s="655"/>
      <c r="G766" s="655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55"/>
      <c r="B767" s="655"/>
      <c r="C767" s="656"/>
      <c r="D767" s="656"/>
      <c r="E767" s="656"/>
      <c r="F767" s="655"/>
      <c r="G767" s="655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55"/>
      <c r="B768" s="655"/>
      <c r="C768" s="656"/>
      <c r="D768" s="656"/>
      <c r="E768" s="656"/>
      <c r="F768" s="655"/>
      <c r="G768" s="655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55"/>
      <c r="B769" s="655"/>
      <c r="C769" s="656"/>
      <c r="D769" s="656"/>
      <c r="E769" s="656"/>
      <c r="F769" s="655"/>
      <c r="G769" s="655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55"/>
      <c r="B770" s="655"/>
      <c r="C770" s="656"/>
      <c r="D770" s="656"/>
      <c r="E770" s="656"/>
      <c r="F770" s="655"/>
      <c r="G770" s="655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55"/>
      <c r="B771" s="655"/>
      <c r="C771" s="656"/>
      <c r="D771" s="656"/>
      <c r="E771" s="656"/>
      <c r="F771" s="655"/>
      <c r="G771" s="655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55"/>
      <c r="B772" s="655"/>
      <c r="C772" s="656"/>
      <c r="D772" s="656"/>
      <c r="E772" s="656"/>
      <c r="F772" s="655"/>
      <c r="G772" s="655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55"/>
      <c r="B773" s="655"/>
      <c r="C773" s="656"/>
      <c r="D773" s="656"/>
      <c r="E773" s="656"/>
      <c r="F773" s="655"/>
      <c r="G773" s="655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55"/>
      <c r="B774" s="655"/>
      <c r="C774" s="656"/>
      <c r="D774" s="656"/>
      <c r="E774" s="656"/>
      <c r="F774" s="655"/>
      <c r="G774" s="655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55"/>
      <c r="B775" s="655"/>
      <c r="C775" s="656"/>
      <c r="D775" s="656"/>
      <c r="E775" s="656"/>
      <c r="F775" s="655"/>
      <c r="G775" s="655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55"/>
      <c r="B776" s="655"/>
      <c r="C776" s="656"/>
      <c r="D776" s="656"/>
      <c r="E776" s="656"/>
      <c r="F776" s="655"/>
      <c r="G776" s="655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55"/>
      <c r="B777" s="655"/>
      <c r="C777" s="656"/>
      <c r="D777" s="656"/>
      <c r="E777" s="656"/>
      <c r="F777" s="655"/>
      <c r="G777" s="655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55"/>
      <c r="B778" s="655"/>
      <c r="C778" s="656"/>
      <c r="D778" s="656"/>
      <c r="E778" s="656"/>
      <c r="F778" s="655"/>
      <c r="G778" s="655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55"/>
      <c r="B779" s="655"/>
      <c r="C779" s="656"/>
      <c r="D779" s="656"/>
      <c r="E779" s="656"/>
      <c r="F779" s="655"/>
      <c r="G779" s="655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55"/>
      <c r="B780" s="655"/>
      <c r="C780" s="656"/>
      <c r="D780" s="656"/>
      <c r="E780" s="656"/>
      <c r="F780" s="655"/>
      <c r="G780" s="655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55"/>
      <c r="B781" s="655"/>
      <c r="C781" s="656"/>
      <c r="D781" s="656"/>
      <c r="E781" s="656"/>
      <c r="F781" s="655"/>
      <c r="G781" s="655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55"/>
      <c r="B782" s="655"/>
      <c r="C782" s="656"/>
      <c r="D782" s="656"/>
      <c r="E782" s="656"/>
      <c r="F782" s="655"/>
      <c r="G782" s="655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55"/>
      <c r="B783" s="655"/>
      <c r="C783" s="656"/>
      <c r="D783" s="656"/>
      <c r="E783" s="656"/>
      <c r="F783" s="655"/>
      <c r="G783" s="655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55"/>
      <c r="B784" s="655"/>
      <c r="C784" s="656"/>
      <c r="D784" s="656"/>
      <c r="E784" s="656"/>
      <c r="F784" s="655"/>
      <c r="G784" s="655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55"/>
      <c r="B785" s="655"/>
      <c r="C785" s="656"/>
      <c r="D785" s="656"/>
      <c r="E785" s="656"/>
      <c r="F785" s="655"/>
      <c r="G785" s="655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55"/>
      <c r="B786" s="655"/>
      <c r="C786" s="656"/>
      <c r="D786" s="656"/>
      <c r="E786" s="656"/>
      <c r="F786" s="655"/>
      <c r="G786" s="655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55"/>
      <c r="B787" s="655"/>
      <c r="C787" s="656"/>
      <c r="D787" s="656"/>
      <c r="E787" s="656"/>
      <c r="F787" s="655"/>
      <c r="G787" s="655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55"/>
      <c r="B788" s="655"/>
      <c r="C788" s="656"/>
      <c r="D788" s="656"/>
      <c r="E788" s="656"/>
      <c r="F788" s="655"/>
      <c r="G788" s="655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55"/>
      <c r="B789" s="655"/>
      <c r="C789" s="656"/>
      <c r="D789" s="656"/>
      <c r="E789" s="656"/>
      <c r="F789" s="655"/>
      <c r="G789" s="655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55"/>
      <c r="B790" s="655"/>
      <c r="C790" s="656"/>
      <c r="D790" s="656"/>
      <c r="E790" s="656"/>
      <c r="F790" s="655"/>
      <c r="G790" s="655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55"/>
      <c r="B791" s="655"/>
      <c r="C791" s="656"/>
      <c r="D791" s="656"/>
      <c r="E791" s="656"/>
      <c r="F791" s="655"/>
      <c r="G791" s="655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55"/>
      <c r="B792" s="655"/>
      <c r="C792" s="656"/>
      <c r="D792" s="656"/>
      <c r="E792" s="656"/>
      <c r="F792" s="655"/>
      <c r="G792" s="655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55"/>
      <c r="B793" s="655"/>
      <c r="C793" s="656"/>
      <c r="D793" s="656"/>
      <c r="E793" s="656"/>
      <c r="F793" s="655"/>
      <c r="G793" s="655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55"/>
      <c r="B794" s="655"/>
      <c r="C794" s="656"/>
      <c r="D794" s="656"/>
      <c r="E794" s="656"/>
      <c r="F794" s="655"/>
      <c r="G794" s="655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55"/>
      <c r="B795" s="655"/>
      <c r="C795" s="656"/>
      <c r="D795" s="656"/>
      <c r="E795" s="656"/>
      <c r="F795" s="655"/>
      <c r="G795" s="655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55"/>
      <c r="B796" s="655"/>
      <c r="C796" s="656"/>
      <c r="D796" s="656"/>
      <c r="E796" s="656"/>
      <c r="F796" s="655"/>
      <c r="G796" s="655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55"/>
      <c r="B797" s="655"/>
      <c r="C797" s="656"/>
      <c r="D797" s="656"/>
      <c r="E797" s="656"/>
      <c r="F797" s="655"/>
      <c r="G797" s="655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55"/>
      <c r="B798" s="655"/>
      <c r="C798" s="656"/>
      <c r="D798" s="656"/>
      <c r="E798" s="656"/>
      <c r="F798" s="655"/>
      <c r="G798" s="655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55"/>
      <c r="B799" s="655"/>
      <c r="C799" s="656"/>
      <c r="D799" s="656"/>
      <c r="E799" s="656"/>
      <c r="F799" s="655"/>
      <c r="G799" s="655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55"/>
      <c r="B800" s="655"/>
      <c r="C800" s="656"/>
      <c r="D800" s="656"/>
      <c r="E800" s="656"/>
      <c r="F800" s="655"/>
      <c r="G800" s="655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55"/>
      <c r="B801" s="655"/>
      <c r="C801" s="656"/>
      <c r="D801" s="656"/>
      <c r="E801" s="656"/>
      <c r="F801" s="655"/>
      <c r="G801" s="655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55"/>
      <c r="B802" s="655"/>
      <c r="C802" s="656"/>
      <c r="D802" s="656"/>
      <c r="E802" s="656"/>
      <c r="F802" s="655"/>
      <c r="G802" s="655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55"/>
      <c r="B803" s="655"/>
      <c r="C803" s="656"/>
      <c r="D803" s="656"/>
      <c r="E803" s="656"/>
      <c r="F803" s="655"/>
      <c r="G803" s="655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55"/>
      <c r="B804" s="655"/>
      <c r="C804" s="656"/>
      <c r="D804" s="656"/>
      <c r="E804" s="656"/>
      <c r="F804" s="655"/>
      <c r="G804" s="655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55"/>
      <c r="B805" s="655"/>
      <c r="C805" s="656"/>
      <c r="D805" s="656"/>
      <c r="E805" s="656"/>
      <c r="F805" s="655"/>
      <c r="G805" s="655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55"/>
      <c r="B806" s="655"/>
      <c r="C806" s="656"/>
      <c r="D806" s="656"/>
      <c r="E806" s="656"/>
      <c r="F806" s="655"/>
      <c r="G806" s="655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55"/>
      <c r="B807" s="655"/>
      <c r="C807" s="656"/>
      <c r="D807" s="656"/>
      <c r="E807" s="656"/>
      <c r="F807" s="655"/>
      <c r="G807" s="655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55"/>
      <c r="B1056" s="655"/>
      <c r="C1056" s="656"/>
      <c r="D1056" s="656"/>
      <c r="E1056" s="656"/>
      <c r="F1056" s="655"/>
      <c r="G1056" s="655"/>
    </row>
    <row r="1057" spans="1:7" ht="15" customHeight="1">
      <c r="A1057" s="655"/>
      <c r="B1057" s="655"/>
      <c r="C1057" s="656"/>
      <c r="D1057" s="656"/>
      <c r="E1057" s="656"/>
      <c r="F1057" s="655"/>
      <c r="G1057" s="655"/>
    </row>
    <row r="1058" spans="1:7" ht="15" customHeight="1">
      <c r="A1058" s="655"/>
      <c r="B1058" s="655"/>
      <c r="C1058" s="656"/>
      <c r="D1058" s="656"/>
      <c r="E1058" s="656"/>
      <c r="F1058" s="655"/>
      <c r="G1058" s="655"/>
    </row>
    <row r="1059" spans="1:7" ht="15" customHeight="1">
      <c r="A1059" s="655"/>
      <c r="B1059" s="655"/>
      <c r="C1059" s="656"/>
      <c r="D1059" s="656"/>
      <c r="E1059" s="656"/>
      <c r="F1059" s="655"/>
      <c r="G1059" s="655"/>
    </row>
    <row r="1060" spans="1:7" ht="15" customHeight="1">
      <c r="A1060" s="655"/>
      <c r="B1060" s="655"/>
      <c r="C1060" s="656"/>
      <c r="D1060" s="656"/>
      <c r="E1060" s="656"/>
      <c r="F1060" s="655"/>
      <c r="G1060" s="655"/>
    </row>
    <row r="1061" spans="1:7" ht="15" customHeight="1">
      <c r="A1061" s="655"/>
      <c r="B1061" s="655"/>
      <c r="C1061" s="656"/>
      <c r="D1061" s="656"/>
      <c r="E1061" s="656"/>
      <c r="F1061" s="655"/>
      <c r="G1061" s="655"/>
    </row>
    <row r="1062" spans="1:7" ht="15" customHeight="1">
      <c r="A1062" s="655"/>
      <c r="B1062" s="655"/>
      <c r="C1062" s="656"/>
      <c r="D1062" s="656"/>
      <c r="E1062" s="656"/>
      <c r="F1062" s="655"/>
      <c r="G1062" s="655"/>
    </row>
    <row r="1063" spans="1:7" ht="15" customHeight="1">
      <c r="A1063" s="655"/>
      <c r="B1063" s="655"/>
      <c r="C1063" s="656"/>
      <c r="D1063" s="656"/>
      <c r="E1063" s="656"/>
      <c r="F1063" s="655"/>
      <c r="G1063" s="655"/>
    </row>
    <row r="1064" spans="1:7" ht="15" customHeight="1">
      <c r="A1064" s="655"/>
      <c r="B1064" s="655"/>
      <c r="C1064" s="656"/>
      <c r="D1064" s="656"/>
      <c r="E1064" s="656"/>
      <c r="F1064" s="655"/>
      <c r="G1064" s="655"/>
    </row>
    <row r="1065" spans="1:7" ht="15" customHeight="1">
      <c r="A1065" s="655"/>
      <c r="B1065" s="655"/>
      <c r="C1065" s="656"/>
      <c r="D1065" s="656"/>
      <c r="E1065" s="656"/>
      <c r="F1065" s="655"/>
      <c r="G1065" s="655"/>
    </row>
    <row r="1066" spans="1:7" ht="15" customHeight="1">
      <c r="A1066" s="655"/>
      <c r="B1066" s="655"/>
      <c r="C1066" s="656"/>
      <c r="D1066" s="656"/>
      <c r="E1066" s="656"/>
      <c r="F1066" s="655"/>
      <c r="G1066" s="655"/>
    </row>
    <row r="1067" spans="1:7" ht="15" customHeight="1">
      <c r="A1067" s="655"/>
      <c r="B1067" s="655"/>
      <c r="C1067" s="656"/>
      <c r="D1067" s="656"/>
      <c r="E1067" s="656"/>
      <c r="F1067" s="655"/>
      <c r="G1067" s="655"/>
    </row>
    <row r="1068" spans="1:7" ht="15" customHeight="1">
      <c r="A1068" s="655"/>
      <c r="B1068" s="655"/>
      <c r="C1068" s="656"/>
      <c r="D1068" s="656"/>
      <c r="E1068" s="656"/>
      <c r="F1068" s="655"/>
      <c r="G1068" s="655"/>
    </row>
    <row r="1069" spans="1:7" ht="15" customHeight="1">
      <c r="A1069" s="655"/>
      <c r="B1069" s="655"/>
      <c r="C1069" s="656"/>
      <c r="D1069" s="656"/>
      <c r="E1069" s="656"/>
      <c r="F1069" s="655"/>
      <c r="G1069" s="655"/>
    </row>
    <row r="1070" spans="1:7" ht="15" customHeight="1">
      <c r="A1070" s="655"/>
      <c r="B1070" s="655"/>
      <c r="C1070" s="656"/>
      <c r="D1070" s="656"/>
      <c r="E1070" s="656"/>
      <c r="F1070" s="655"/>
      <c r="G1070" s="655"/>
    </row>
    <row r="1071" spans="1:7" ht="15" customHeight="1">
      <c r="A1071" s="655"/>
      <c r="B1071" s="655"/>
      <c r="C1071" s="656"/>
      <c r="D1071" s="656"/>
      <c r="E1071" s="656"/>
      <c r="F1071" s="655"/>
      <c r="G1071" s="655"/>
    </row>
    <row r="1072" spans="1:7" ht="15" customHeight="1">
      <c r="A1072" s="655"/>
      <c r="B1072" s="655"/>
      <c r="C1072" s="656"/>
      <c r="D1072" s="656"/>
      <c r="E1072" s="656"/>
      <c r="F1072" s="655"/>
      <c r="G1072" s="655"/>
    </row>
    <row r="1073" spans="1:7" ht="15" customHeight="1">
      <c r="A1073" s="655"/>
      <c r="B1073" s="655"/>
      <c r="C1073" s="656"/>
      <c r="D1073" s="656"/>
      <c r="E1073" s="656"/>
      <c r="F1073" s="655"/>
      <c r="G1073" s="655"/>
    </row>
    <row r="1074" spans="1:7" ht="15" customHeight="1">
      <c r="A1074" s="655"/>
      <c r="B1074" s="655"/>
      <c r="C1074" s="656"/>
      <c r="D1074" s="656"/>
      <c r="E1074" s="656"/>
      <c r="F1074" s="655"/>
      <c r="G1074" s="655"/>
    </row>
    <row r="1075" spans="1:7" ht="15" customHeight="1">
      <c r="A1075" s="655"/>
      <c r="B1075" s="655"/>
      <c r="C1075" s="656"/>
      <c r="D1075" s="656"/>
      <c r="E1075" s="656"/>
      <c r="F1075" s="655"/>
      <c r="G1075" s="655"/>
    </row>
    <row r="1076" spans="1:7" ht="15" customHeight="1">
      <c r="A1076" s="655"/>
      <c r="B1076" s="655"/>
      <c r="C1076" s="656"/>
      <c r="D1076" s="656"/>
      <c r="E1076" s="656"/>
      <c r="F1076" s="655"/>
      <c r="G1076" s="655"/>
    </row>
    <row r="1077" spans="1:7" ht="15" customHeight="1">
      <c r="A1077" s="655"/>
      <c r="B1077" s="655"/>
      <c r="C1077" s="656"/>
      <c r="D1077" s="656"/>
      <c r="E1077" s="656"/>
      <c r="F1077" s="655"/>
      <c r="G1077" s="655"/>
    </row>
    <row r="1078" spans="1:7" ht="15" customHeight="1">
      <c r="A1078" s="655"/>
      <c r="B1078" s="655"/>
      <c r="C1078" s="656"/>
      <c r="D1078" s="656"/>
      <c r="E1078" s="656"/>
      <c r="F1078" s="655"/>
      <c r="G1078" s="655"/>
    </row>
    <row r="1079" spans="1:7" ht="15" customHeight="1">
      <c r="A1079" s="655"/>
      <c r="B1079" s="655"/>
      <c r="C1079" s="656"/>
      <c r="D1079" s="656"/>
      <c r="E1079" s="656"/>
      <c r="F1079" s="655"/>
      <c r="G1079" s="655"/>
    </row>
    <row r="1080" spans="1:7" ht="15" customHeight="1">
      <c r="A1080" s="655"/>
      <c r="B1080" s="655"/>
      <c r="C1080" s="656"/>
      <c r="D1080" s="656"/>
      <c r="E1080" s="656"/>
      <c r="F1080" s="655"/>
      <c r="G1080" s="655"/>
    </row>
    <row r="1081" spans="1:7" ht="15" customHeight="1">
      <c r="A1081" s="655"/>
      <c r="B1081" s="655"/>
      <c r="C1081" s="656"/>
      <c r="D1081" s="656"/>
      <c r="E1081" s="656"/>
      <c r="F1081" s="655"/>
      <c r="G1081" s="655"/>
    </row>
    <row r="1082" spans="1:7" ht="15" customHeight="1">
      <c r="A1082" s="655"/>
      <c r="B1082" s="655"/>
      <c r="C1082" s="656"/>
      <c r="D1082" s="656"/>
      <c r="E1082" s="656"/>
      <c r="F1082" s="655"/>
      <c r="G1082" s="655"/>
    </row>
    <row r="1083" spans="1:7" ht="15" customHeight="1">
      <c r="A1083" s="655"/>
      <c r="B1083" s="655"/>
      <c r="C1083" s="656"/>
      <c r="D1083" s="656"/>
      <c r="E1083" s="656"/>
      <c r="F1083" s="655"/>
      <c r="G1083" s="655"/>
    </row>
    <row r="1084" spans="1:7" ht="15" customHeight="1">
      <c r="A1084" s="655"/>
      <c r="B1084" s="655"/>
      <c r="C1084" s="656"/>
      <c r="D1084" s="656"/>
      <c r="E1084" s="656"/>
      <c r="F1084" s="655"/>
      <c r="G1084" s="655"/>
    </row>
    <row r="1085" spans="1:7" ht="15" customHeight="1">
      <c r="A1085" s="655"/>
      <c r="B1085" s="655"/>
      <c r="C1085" s="656"/>
      <c r="D1085" s="656"/>
      <c r="E1085" s="656"/>
      <c r="F1085" s="655"/>
      <c r="G1085" s="655"/>
    </row>
    <row r="1086" spans="1:7" ht="15" customHeight="1">
      <c r="A1086" s="655"/>
      <c r="B1086" s="655"/>
      <c r="C1086" s="656"/>
      <c r="D1086" s="656"/>
      <c r="E1086" s="656"/>
      <c r="F1086" s="655"/>
      <c r="G1086" s="655"/>
    </row>
    <row r="1087" spans="1:7" ht="15" customHeight="1">
      <c r="A1087" s="655"/>
      <c r="B1087" s="655"/>
      <c r="C1087" s="656"/>
      <c r="D1087" s="656"/>
      <c r="E1087" s="656"/>
      <c r="F1087" s="655"/>
      <c r="G1087" s="655"/>
    </row>
    <row r="1088" spans="1:7" ht="15" customHeight="1">
      <c r="A1088" s="655"/>
      <c r="B1088" s="655"/>
      <c r="C1088" s="656"/>
      <c r="D1088" s="656"/>
      <c r="E1088" s="656"/>
      <c r="F1088" s="655"/>
      <c r="G1088" s="655"/>
    </row>
    <row r="1089" spans="1:7" ht="15" customHeight="1">
      <c r="A1089" s="655"/>
      <c r="B1089" s="655"/>
      <c r="C1089" s="656"/>
      <c r="D1089" s="656"/>
      <c r="E1089" s="656"/>
      <c r="F1089" s="655"/>
      <c r="G1089" s="655"/>
    </row>
    <row r="1090" spans="1:7" ht="15" customHeight="1">
      <c r="A1090" s="655"/>
      <c r="B1090" s="655"/>
      <c r="C1090" s="656"/>
      <c r="D1090" s="656"/>
      <c r="E1090" s="656"/>
      <c r="F1090" s="655"/>
      <c r="G1090" s="655"/>
    </row>
    <row r="1091" spans="1:7" ht="15" customHeight="1">
      <c r="A1091" s="655"/>
      <c r="B1091" s="655"/>
      <c r="C1091" s="656"/>
      <c r="D1091" s="656"/>
      <c r="E1091" s="656"/>
      <c r="F1091" s="655"/>
      <c r="G1091" s="655"/>
    </row>
    <row r="1092" spans="1:7" ht="15" customHeight="1">
      <c r="A1092" s="655"/>
      <c r="B1092" s="655"/>
      <c r="C1092" s="656"/>
      <c r="D1092" s="656"/>
      <c r="E1092" s="656"/>
      <c r="F1092" s="655"/>
      <c r="G1092" s="655"/>
    </row>
    <row r="1093" spans="1:7" ht="15" customHeight="1">
      <c r="A1093" s="655"/>
      <c r="B1093" s="655"/>
      <c r="C1093" s="656"/>
      <c r="D1093" s="656"/>
      <c r="E1093" s="656"/>
      <c r="F1093" s="655"/>
      <c r="G1093" s="655"/>
    </row>
    <row r="1094" spans="1:7" ht="15" customHeight="1">
      <c r="A1094" s="655"/>
      <c r="B1094" s="655"/>
      <c r="C1094" s="656"/>
      <c r="D1094" s="656"/>
      <c r="E1094" s="656"/>
      <c r="F1094" s="655"/>
      <c r="G1094" s="655"/>
    </row>
    <row r="1095" spans="1:7" ht="15" customHeight="1">
      <c r="A1095" s="655"/>
      <c r="B1095" s="655"/>
      <c r="C1095" s="656"/>
      <c r="D1095" s="656"/>
      <c r="E1095" s="656"/>
      <c r="F1095" s="655"/>
      <c r="G1095" s="655"/>
    </row>
    <row r="1096" spans="1:7" ht="15" customHeight="1">
      <c r="A1096" s="655"/>
      <c r="B1096" s="655"/>
      <c r="C1096" s="656"/>
      <c r="D1096" s="656"/>
      <c r="E1096" s="656"/>
      <c r="F1096" s="655"/>
      <c r="G1096" s="655"/>
    </row>
    <row r="1097" spans="1:7" ht="15" customHeight="1">
      <c r="A1097" s="655"/>
      <c r="B1097" s="655"/>
      <c r="C1097" s="656"/>
      <c r="D1097" s="656"/>
      <c r="E1097" s="656"/>
      <c r="F1097" s="655"/>
      <c r="G1097" s="655"/>
    </row>
    <row r="1098" spans="1:7" ht="15" customHeight="1">
      <c r="A1098" s="655"/>
      <c r="B1098" s="655"/>
      <c r="C1098" s="656"/>
      <c r="D1098" s="656"/>
      <c r="E1098" s="656"/>
      <c r="F1098" s="655"/>
      <c r="G1098" s="655"/>
    </row>
    <row r="1099" spans="1:7" ht="15" customHeight="1">
      <c r="A1099" s="655"/>
      <c r="B1099" s="655"/>
      <c r="C1099" s="656"/>
      <c r="D1099" s="656"/>
      <c r="E1099" s="656"/>
      <c r="F1099" s="655"/>
      <c r="G1099" s="655"/>
    </row>
    <row r="1100" spans="1:7" ht="15" customHeight="1">
      <c r="A1100" s="655"/>
      <c r="B1100" s="655"/>
      <c r="C1100" s="656"/>
      <c r="D1100" s="656"/>
      <c r="E1100" s="656"/>
      <c r="F1100" s="655"/>
      <c r="G1100" s="655"/>
    </row>
    <row r="1101" spans="1:7" ht="15" customHeight="1">
      <c r="A1101" s="655"/>
      <c r="B1101" s="655"/>
      <c r="C1101" s="656"/>
      <c r="D1101" s="656"/>
      <c r="E1101" s="656"/>
      <c r="F1101" s="655"/>
      <c r="G1101" s="655"/>
    </row>
    <row r="1102" spans="1:7" ht="15" customHeight="1">
      <c r="A1102" s="655"/>
      <c r="B1102" s="655"/>
      <c r="C1102" s="656"/>
      <c r="D1102" s="656"/>
      <c r="E1102" s="656"/>
      <c r="F1102" s="655"/>
      <c r="G1102" s="655"/>
    </row>
    <row r="1103" spans="1:7" ht="15" customHeight="1">
      <c r="A1103" s="655"/>
      <c r="B1103" s="655"/>
      <c r="C1103" s="656"/>
      <c r="D1103" s="656"/>
      <c r="E1103" s="656"/>
      <c r="F1103" s="655"/>
      <c r="G1103" s="655"/>
    </row>
    <row r="1104" spans="1:7" ht="15" customHeight="1">
      <c r="A1104" s="655"/>
      <c r="B1104" s="655"/>
      <c r="C1104" s="656"/>
      <c r="D1104" s="656"/>
      <c r="E1104" s="656"/>
      <c r="F1104" s="655"/>
      <c r="G1104" s="655"/>
    </row>
    <row r="1105" spans="1:7" ht="15" customHeight="1">
      <c r="A1105" s="655"/>
      <c r="B1105" s="655"/>
      <c r="C1105" s="656"/>
      <c r="D1105" s="656"/>
      <c r="E1105" s="656"/>
      <c r="F1105" s="655"/>
      <c r="G1105" s="655"/>
    </row>
    <row r="1106" spans="1:7" ht="15" customHeight="1">
      <c r="A1106" s="655"/>
      <c r="B1106" s="655"/>
      <c r="C1106" s="656"/>
      <c r="D1106" s="656"/>
      <c r="E1106" s="656"/>
      <c r="F1106" s="655"/>
      <c r="G1106" s="655"/>
    </row>
    <row r="1107" spans="1:7" ht="15" customHeight="1">
      <c r="A1107" s="655"/>
      <c r="B1107" s="655"/>
      <c r="C1107" s="656"/>
      <c r="D1107" s="656"/>
      <c r="E1107" s="656"/>
      <c r="F1107" s="655"/>
      <c r="G1107" s="655"/>
    </row>
    <row r="1108" spans="1:7" ht="15" customHeight="1">
      <c r="A1108" s="655"/>
      <c r="B1108" s="655"/>
      <c r="C1108" s="656"/>
      <c r="D1108" s="656"/>
      <c r="E1108" s="656"/>
      <c r="F1108" s="655"/>
      <c r="G1108" s="655"/>
    </row>
    <row r="1109" spans="1:7" ht="15" customHeight="1">
      <c r="A1109" s="655"/>
      <c r="B1109" s="655"/>
      <c r="C1109" s="656"/>
      <c r="D1109" s="656"/>
      <c r="E1109" s="656"/>
      <c r="F1109" s="655"/>
      <c r="G1109" s="655"/>
    </row>
    <row r="1110" spans="1:7" ht="15" customHeight="1">
      <c r="A1110" s="655"/>
      <c r="B1110" s="655"/>
      <c r="C1110" s="656"/>
      <c r="D1110" s="656"/>
      <c r="E1110" s="656"/>
      <c r="F1110" s="655"/>
      <c r="G1110" s="655"/>
    </row>
    <row r="1111" spans="1:7" ht="15" customHeight="1">
      <c r="A1111" s="655"/>
      <c r="B1111" s="655"/>
      <c r="C1111" s="656"/>
      <c r="D1111" s="656"/>
      <c r="E1111" s="656"/>
      <c r="F1111" s="655"/>
      <c r="G1111" s="655"/>
    </row>
    <row r="1112" spans="1:7" ht="15" customHeight="1">
      <c r="A1112" s="655"/>
      <c r="B1112" s="655"/>
      <c r="C1112" s="656"/>
      <c r="D1112" s="656"/>
      <c r="E1112" s="656"/>
      <c r="F1112" s="655"/>
      <c r="G1112" s="655"/>
    </row>
    <row r="1113" spans="1:7" ht="15" customHeight="1">
      <c r="A1113" s="655"/>
      <c r="B1113" s="655"/>
      <c r="C1113" s="656"/>
      <c r="D1113" s="656"/>
      <c r="E1113" s="656"/>
      <c r="F1113" s="655"/>
      <c r="G1113" s="655"/>
    </row>
    <row r="1114" spans="1:7" ht="15" customHeight="1">
      <c r="A1114" s="655"/>
      <c r="B1114" s="655"/>
      <c r="C1114" s="656"/>
      <c r="D1114" s="656"/>
      <c r="E1114" s="656"/>
      <c r="F1114" s="655"/>
      <c r="G1114" s="655"/>
    </row>
    <row r="1115" spans="1:7" ht="15" customHeight="1">
      <c r="A1115" s="655"/>
      <c r="B1115" s="655"/>
      <c r="C1115" s="656"/>
      <c r="D1115" s="656"/>
      <c r="E1115" s="656"/>
      <c r="F1115" s="655"/>
      <c r="G1115" s="655"/>
    </row>
    <row r="1116" spans="1:7" ht="15" customHeight="1">
      <c r="A1116" s="655"/>
      <c r="B1116" s="655"/>
      <c r="C1116" s="656"/>
      <c r="D1116" s="656"/>
      <c r="E1116" s="656"/>
      <c r="F1116" s="655"/>
      <c r="G1116" s="655"/>
    </row>
    <row r="1117" spans="1:7" ht="15" customHeight="1">
      <c r="A1117" s="655"/>
      <c r="B1117" s="655"/>
      <c r="C1117" s="656"/>
      <c r="D1117" s="656"/>
      <c r="E1117" s="656"/>
      <c r="F1117" s="655"/>
      <c r="G1117" s="655"/>
    </row>
    <row r="1118" spans="1:7" ht="15" customHeight="1">
      <c r="A1118" s="655"/>
      <c r="B1118" s="655"/>
      <c r="C1118" s="656"/>
      <c r="D1118" s="656"/>
      <c r="E1118" s="656"/>
      <c r="F1118" s="655"/>
      <c r="G1118" s="655"/>
    </row>
    <row r="1119" spans="1:7" ht="15" customHeight="1">
      <c r="A1119" s="655"/>
      <c r="B1119" s="655"/>
      <c r="C1119" s="656"/>
      <c r="D1119" s="656"/>
      <c r="E1119" s="656"/>
      <c r="F1119" s="655"/>
      <c r="G1119" s="655"/>
    </row>
    <row r="1120" spans="1:7" ht="15" customHeight="1">
      <c r="A1120" s="655"/>
      <c r="B1120" s="655"/>
      <c r="C1120" s="656"/>
      <c r="D1120" s="656"/>
      <c r="E1120" s="656"/>
      <c r="F1120" s="655"/>
      <c r="G1120" s="655"/>
    </row>
    <row r="1121" spans="1:7" ht="15" customHeight="1">
      <c r="A1121" s="655"/>
      <c r="B1121" s="655"/>
      <c r="C1121" s="656"/>
      <c r="D1121" s="656"/>
      <c r="E1121" s="656"/>
      <c r="F1121" s="655"/>
      <c r="G1121" s="655"/>
    </row>
    <row r="1122" spans="1:7" ht="15" customHeight="1">
      <c r="A1122" s="655"/>
      <c r="B1122" s="655"/>
      <c r="C1122" s="656"/>
      <c r="D1122" s="656"/>
      <c r="E1122" s="656"/>
      <c r="F1122" s="655"/>
      <c r="G1122" s="655"/>
    </row>
    <row r="1123" spans="1:7" ht="15" customHeight="1">
      <c r="A1123" s="655"/>
      <c r="B1123" s="655"/>
      <c r="C1123" s="656"/>
      <c r="D1123" s="656"/>
      <c r="E1123" s="656"/>
      <c r="F1123" s="655"/>
      <c r="G1123" s="655"/>
    </row>
    <row r="1124" spans="1:7" ht="15" customHeight="1">
      <c r="A1124" s="655"/>
      <c r="B1124" s="655"/>
      <c r="C1124" s="656"/>
      <c r="D1124" s="656"/>
      <c r="E1124" s="656"/>
      <c r="F1124" s="655"/>
      <c r="G1124" s="655"/>
    </row>
    <row r="1125" spans="1:7" ht="15" customHeight="1">
      <c r="A1125" s="655"/>
      <c r="B1125" s="655"/>
      <c r="C1125" s="656"/>
      <c r="D1125" s="656"/>
      <c r="E1125" s="656"/>
      <c r="F1125" s="655"/>
      <c r="G1125" s="655"/>
    </row>
    <row r="1126" spans="1:7" ht="15" customHeight="1">
      <c r="A1126" s="655"/>
      <c r="B1126" s="655"/>
      <c r="C1126" s="656"/>
      <c r="D1126" s="656"/>
      <c r="E1126" s="656"/>
      <c r="F1126" s="655"/>
      <c r="G1126" s="655"/>
    </row>
    <row r="1127" spans="1:7" ht="15" customHeight="1">
      <c r="A1127" s="655"/>
      <c r="B1127" s="655"/>
      <c r="C1127" s="656"/>
      <c r="D1127" s="656"/>
      <c r="E1127" s="656"/>
      <c r="F1127" s="655"/>
      <c r="G1127" s="655"/>
    </row>
    <row r="1128" spans="1:7" ht="15" customHeight="1">
      <c r="A1128" s="655"/>
      <c r="B1128" s="655"/>
      <c r="C1128" s="656"/>
      <c r="D1128" s="656"/>
      <c r="E1128" s="656"/>
      <c r="F1128" s="655"/>
      <c r="G1128" s="655"/>
    </row>
    <row r="1129" spans="1:7" ht="15" customHeight="1">
      <c r="A1129" s="655"/>
      <c r="B1129" s="655"/>
      <c r="C1129" s="656"/>
      <c r="D1129" s="656"/>
      <c r="E1129" s="656"/>
      <c r="F1129" s="655"/>
      <c r="G1129" s="655"/>
    </row>
    <row r="1130" spans="1:7" ht="15" customHeight="1">
      <c r="A1130" s="655"/>
      <c r="B1130" s="655"/>
      <c r="C1130" s="656"/>
      <c r="D1130" s="656"/>
      <c r="E1130" s="656"/>
      <c r="F1130" s="655"/>
      <c r="G1130" s="655"/>
    </row>
    <row r="1131" spans="1:7" ht="15" customHeight="1">
      <c r="A1131" s="655"/>
      <c r="B1131" s="655"/>
      <c r="C1131" s="656"/>
      <c r="D1131" s="656"/>
      <c r="E1131" s="656"/>
      <c r="F1131" s="655"/>
      <c r="G1131" s="655"/>
    </row>
    <row r="1132" spans="1:7" ht="15" customHeight="1">
      <c r="A1132" s="655"/>
      <c r="B1132" s="655"/>
      <c r="C1132" s="656"/>
      <c r="D1132" s="656"/>
      <c r="E1132" s="656"/>
      <c r="F1132" s="655"/>
      <c r="G1132" s="655"/>
    </row>
    <row r="1133" spans="1:7" ht="15" customHeight="1">
      <c r="A1133" s="655"/>
      <c r="B1133" s="655"/>
      <c r="C1133" s="656"/>
      <c r="D1133" s="656"/>
      <c r="E1133" s="656"/>
      <c r="F1133" s="655"/>
      <c r="G1133" s="655"/>
    </row>
    <row r="1134" spans="1:7" ht="15" customHeight="1">
      <c r="A1134" s="655"/>
      <c r="B1134" s="655"/>
      <c r="C1134" s="656"/>
      <c r="D1134" s="656"/>
      <c r="E1134" s="656"/>
      <c r="F1134" s="655"/>
      <c r="G1134" s="655"/>
    </row>
    <row r="1135" spans="1:7" ht="15" customHeight="1">
      <c r="A1135" s="655"/>
      <c r="B1135" s="655"/>
      <c r="C1135" s="656"/>
      <c r="D1135" s="656"/>
      <c r="E1135" s="656"/>
      <c r="F1135" s="655"/>
      <c r="G1135" s="655"/>
    </row>
    <row r="1136" spans="1:7" ht="15" customHeight="1">
      <c r="A1136" s="655"/>
      <c r="B1136" s="655"/>
      <c r="C1136" s="656"/>
      <c r="D1136" s="656"/>
      <c r="E1136" s="656"/>
      <c r="F1136" s="655"/>
      <c r="G1136" s="655"/>
    </row>
    <row r="1137" spans="1:7" ht="15" customHeight="1">
      <c r="A1137" s="655"/>
      <c r="B1137" s="655"/>
      <c r="C1137" s="656"/>
      <c r="D1137" s="656"/>
      <c r="E1137" s="656"/>
      <c r="F1137" s="655"/>
      <c r="G1137" s="655"/>
    </row>
    <row r="1138" spans="1:7" ht="15" customHeight="1">
      <c r="A1138" s="655"/>
      <c r="B1138" s="655"/>
      <c r="C1138" s="656"/>
      <c r="D1138" s="656"/>
      <c r="E1138" s="656"/>
      <c r="F1138" s="655"/>
      <c r="G1138" s="655"/>
    </row>
    <row r="1139" spans="1:7" ht="15" customHeight="1">
      <c r="A1139" s="655"/>
      <c r="B1139" s="655"/>
      <c r="C1139" s="656"/>
      <c r="D1139" s="656"/>
      <c r="E1139" s="656"/>
      <c r="F1139" s="655"/>
      <c r="G1139" s="655"/>
    </row>
    <row r="1140" spans="1:7" ht="15" customHeight="1">
      <c r="A1140" s="655"/>
      <c r="B1140" s="655"/>
      <c r="C1140" s="656"/>
      <c r="D1140" s="656"/>
      <c r="E1140" s="656"/>
      <c r="F1140" s="655"/>
      <c r="G1140" s="655"/>
    </row>
    <row r="1141" spans="1:7" ht="15" customHeight="1">
      <c r="A1141" s="655"/>
      <c r="B1141" s="655"/>
      <c r="C1141" s="656"/>
      <c r="D1141" s="656"/>
      <c r="E1141" s="656"/>
      <c r="F1141" s="655"/>
      <c r="G1141" s="655"/>
    </row>
    <row r="1142" spans="1:7" ht="15" customHeight="1">
      <c r="A1142" s="655"/>
      <c r="B1142" s="655"/>
      <c r="C1142" s="656"/>
      <c r="D1142" s="656"/>
      <c r="E1142" s="656"/>
      <c r="F1142" s="655"/>
      <c r="G1142" s="655"/>
    </row>
    <row r="1143" spans="1:7" ht="15" customHeight="1">
      <c r="A1143" s="655"/>
      <c r="B1143" s="655"/>
      <c r="C1143" s="656"/>
      <c r="D1143" s="656"/>
      <c r="E1143" s="656"/>
      <c r="F1143" s="655"/>
      <c r="G1143" s="655"/>
    </row>
    <row r="1144" spans="1:7" ht="15" customHeight="1">
      <c r="A1144" s="655"/>
      <c r="B1144" s="655"/>
      <c r="C1144" s="656"/>
      <c r="D1144" s="656"/>
      <c r="E1144" s="656"/>
      <c r="F1144" s="655"/>
      <c r="G1144" s="655"/>
    </row>
    <row r="1145" spans="1:7" ht="15" customHeight="1">
      <c r="A1145" s="655"/>
      <c r="B1145" s="655"/>
      <c r="C1145" s="656"/>
      <c r="D1145" s="656"/>
      <c r="E1145" s="656"/>
      <c r="F1145" s="655"/>
      <c r="G1145" s="655"/>
    </row>
    <row r="1146" spans="1:7" ht="15" customHeight="1">
      <c r="A1146" s="655"/>
      <c r="B1146" s="655"/>
      <c r="C1146" s="656"/>
      <c r="D1146" s="656"/>
      <c r="E1146" s="656"/>
      <c r="F1146" s="655"/>
      <c r="G1146" s="655"/>
    </row>
    <row r="1147" spans="1:7" ht="15" customHeight="1">
      <c r="A1147" s="655"/>
      <c r="B1147" s="655"/>
      <c r="C1147" s="656"/>
      <c r="D1147" s="656"/>
      <c r="E1147" s="656"/>
      <c r="F1147" s="655"/>
      <c r="G1147" s="655"/>
    </row>
    <row r="1148" spans="1:7" ht="15" customHeight="1">
      <c r="A1148" s="655"/>
      <c r="B1148" s="655"/>
      <c r="C1148" s="656"/>
      <c r="D1148" s="656"/>
      <c r="E1148" s="656"/>
      <c r="F1148" s="655"/>
      <c r="G1148" s="655"/>
    </row>
    <row r="1149" spans="1:7" ht="15" customHeight="1">
      <c r="A1149" s="655"/>
      <c r="B1149" s="655"/>
      <c r="C1149" s="656"/>
      <c r="D1149" s="656"/>
      <c r="E1149" s="656"/>
      <c r="F1149" s="655"/>
      <c r="G1149" s="655"/>
    </row>
    <row r="1150" spans="1:7" ht="15" customHeight="1">
      <c r="A1150" s="655"/>
      <c r="B1150" s="655"/>
      <c r="C1150" s="656"/>
      <c r="D1150" s="656"/>
      <c r="E1150" s="656"/>
      <c r="F1150" s="655"/>
      <c r="G1150" s="655"/>
    </row>
    <row r="1151" spans="1:7" ht="15" customHeight="1">
      <c r="A1151" s="655"/>
      <c r="B1151" s="655"/>
      <c r="C1151" s="656"/>
      <c r="D1151" s="656"/>
      <c r="E1151" s="656"/>
      <c r="F1151" s="655"/>
      <c r="G1151" s="655"/>
    </row>
    <row r="1152" spans="1:7" ht="15" customHeight="1">
      <c r="A1152" s="655"/>
      <c r="B1152" s="655"/>
      <c r="C1152" s="656"/>
      <c r="D1152" s="656"/>
      <c r="E1152" s="656"/>
      <c r="F1152" s="655"/>
      <c r="G1152" s="655"/>
    </row>
    <row r="1153" spans="1:7" ht="15" customHeight="1">
      <c r="A1153" s="655"/>
      <c r="B1153" s="655"/>
      <c r="C1153" s="656"/>
      <c r="D1153" s="656"/>
      <c r="E1153" s="656"/>
      <c r="F1153" s="655"/>
      <c r="G1153" s="655"/>
    </row>
    <row r="1154" spans="1:7" ht="15" customHeight="1">
      <c r="A1154" s="655"/>
      <c r="B1154" s="655"/>
      <c r="C1154" s="656"/>
      <c r="D1154" s="656"/>
      <c r="E1154" s="656"/>
      <c r="F1154" s="655"/>
      <c r="G1154" s="655"/>
    </row>
    <row r="1155" spans="1:7" ht="15" customHeight="1">
      <c r="A1155" s="655"/>
      <c r="B1155" s="655"/>
      <c r="C1155" s="656"/>
      <c r="D1155" s="656"/>
      <c r="E1155" s="656"/>
      <c r="F1155" s="655"/>
      <c r="G1155" s="655"/>
    </row>
    <row r="1156" spans="1:7" ht="15" customHeight="1">
      <c r="A1156" s="655"/>
      <c r="B1156" s="655"/>
      <c r="C1156" s="656"/>
      <c r="D1156" s="656"/>
      <c r="E1156" s="656"/>
      <c r="F1156" s="655"/>
      <c r="G1156" s="655"/>
    </row>
    <row r="1157" spans="1:7" ht="15" customHeight="1">
      <c r="A1157" s="655"/>
      <c r="B1157" s="655"/>
      <c r="C1157" s="656"/>
      <c r="D1157" s="656"/>
      <c r="E1157" s="656"/>
      <c r="F1157" s="655"/>
      <c r="G1157" s="655"/>
    </row>
    <row r="1158" spans="1:7" ht="15" customHeight="1">
      <c r="A1158" s="655"/>
      <c r="B1158" s="655"/>
      <c r="C1158" s="656"/>
      <c r="D1158" s="656"/>
      <c r="E1158" s="656"/>
      <c r="F1158" s="655"/>
      <c r="G1158" s="655"/>
    </row>
    <row r="1159" spans="1:7" ht="15" customHeight="1">
      <c r="A1159" s="655"/>
      <c r="B1159" s="655"/>
      <c r="C1159" s="656"/>
      <c r="D1159" s="656"/>
      <c r="E1159" s="656"/>
      <c r="F1159" s="655"/>
      <c r="G1159" s="655"/>
    </row>
    <row r="1160" spans="1:7" ht="15" customHeight="1">
      <c r="A1160" s="655"/>
      <c r="B1160" s="655"/>
      <c r="C1160" s="656"/>
      <c r="D1160" s="656"/>
      <c r="E1160" s="656"/>
      <c r="F1160" s="655"/>
      <c r="G1160" s="655"/>
    </row>
    <row r="1161" spans="1:7" ht="15" customHeight="1">
      <c r="A1161" s="655"/>
      <c r="B1161" s="655"/>
      <c r="C1161" s="656"/>
      <c r="D1161" s="656"/>
      <c r="E1161" s="656"/>
      <c r="F1161" s="655"/>
      <c r="G1161" s="655"/>
    </row>
    <row r="1162" spans="1:7" ht="15" customHeight="1">
      <c r="A1162" s="655"/>
      <c r="B1162" s="655"/>
      <c r="C1162" s="656"/>
      <c r="D1162" s="656"/>
      <c r="E1162" s="656"/>
      <c r="F1162" s="655"/>
      <c r="G1162" s="655"/>
    </row>
    <row r="1163" spans="1:7" ht="15" customHeight="1">
      <c r="A1163" s="655"/>
      <c r="B1163" s="655"/>
      <c r="C1163" s="656"/>
      <c r="D1163" s="656"/>
      <c r="E1163" s="656"/>
      <c r="F1163" s="655"/>
      <c r="G1163" s="655"/>
    </row>
    <row r="1164" spans="1:7" ht="15" customHeight="1">
      <c r="A1164" s="655"/>
      <c r="B1164" s="655"/>
      <c r="C1164" s="656"/>
      <c r="D1164" s="656"/>
      <c r="E1164" s="656"/>
      <c r="F1164" s="655"/>
      <c r="G1164" s="655"/>
    </row>
    <row r="1165" spans="1:7" ht="15" customHeight="1">
      <c r="A1165" s="655"/>
      <c r="B1165" s="655"/>
      <c r="C1165" s="656"/>
      <c r="D1165" s="656"/>
      <c r="E1165" s="656"/>
      <c r="F1165" s="655"/>
      <c r="G1165" s="655"/>
    </row>
    <row r="1166" spans="1:7" ht="15" customHeight="1">
      <c r="A1166" s="655"/>
      <c r="B1166" s="655"/>
      <c r="C1166" s="656"/>
      <c r="D1166" s="656"/>
      <c r="E1166" s="656"/>
      <c r="F1166" s="655"/>
      <c r="G1166" s="655"/>
    </row>
    <row r="1167" spans="1:7" ht="15" customHeight="1">
      <c r="A1167" s="655"/>
      <c r="B1167" s="655"/>
      <c r="C1167" s="656"/>
      <c r="D1167" s="656"/>
      <c r="E1167" s="656"/>
      <c r="F1167" s="655"/>
      <c r="G1167" s="655"/>
    </row>
    <row r="1168" spans="1:7" ht="15" customHeight="1">
      <c r="A1168" s="655"/>
      <c r="B1168" s="655"/>
      <c r="C1168" s="656"/>
      <c r="D1168" s="656"/>
      <c r="E1168" s="656"/>
      <c r="F1168" s="655"/>
      <c r="G1168" s="655"/>
    </row>
    <row r="1169" spans="1:7" ht="15" customHeight="1">
      <c r="A1169" s="655"/>
      <c r="B1169" s="655"/>
      <c r="C1169" s="656"/>
      <c r="D1169" s="656"/>
      <c r="E1169" s="656"/>
      <c r="F1169" s="655"/>
      <c r="G1169" s="655"/>
    </row>
    <row r="1170" spans="1:7" ht="15" customHeight="1">
      <c r="A1170" s="655"/>
      <c r="B1170" s="655"/>
      <c r="C1170" s="656"/>
      <c r="D1170" s="656"/>
      <c r="E1170" s="656"/>
      <c r="F1170" s="655"/>
      <c r="G1170" s="655"/>
    </row>
    <row r="1171" spans="1:7" ht="15" customHeight="1">
      <c r="A1171" s="655"/>
      <c r="B1171" s="655"/>
      <c r="C1171" s="656"/>
      <c r="D1171" s="656"/>
      <c r="E1171" s="656"/>
      <c r="F1171" s="655"/>
      <c r="G1171" s="655"/>
    </row>
    <row r="1172" spans="1:7" ht="15" customHeight="1">
      <c r="A1172" s="655"/>
      <c r="B1172" s="655"/>
      <c r="C1172" s="656"/>
      <c r="D1172" s="656"/>
      <c r="E1172" s="656"/>
      <c r="F1172" s="655"/>
      <c r="G1172" s="655"/>
    </row>
    <row r="1173" spans="1:7" ht="15" customHeight="1">
      <c r="A1173" s="655"/>
      <c r="B1173" s="655"/>
      <c r="C1173" s="656"/>
      <c r="D1173" s="656"/>
      <c r="E1173" s="656"/>
      <c r="F1173" s="655"/>
      <c r="G1173" s="655"/>
    </row>
    <row r="1174" spans="1:7" ht="15" customHeight="1">
      <c r="A1174" s="655"/>
      <c r="B1174" s="655"/>
      <c r="C1174" s="656"/>
      <c r="D1174" s="656"/>
      <c r="E1174" s="656"/>
      <c r="F1174" s="655"/>
      <c r="G1174" s="655"/>
    </row>
    <row r="1175" spans="1:7" ht="15" customHeight="1">
      <c r="A1175" s="655"/>
      <c r="B1175" s="655"/>
      <c r="C1175" s="656"/>
      <c r="D1175" s="656"/>
      <c r="E1175" s="656"/>
      <c r="F1175" s="655"/>
      <c r="G1175" s="655"/>
    </row>
    <row r="1176" spans="1:7" ht="15" customHeight="1">
      <c r="A1176" s="655"/>
      <c r="B1176" s="655"/>
      <c r="C1176" s="656"/>
      <c r="D1176" s="656"/>
      <c r="E1176" s="656"/>
      <c r="F1176" s="655"/>
      <c r="G1176" s="655"/>
    </row>
    <row r="1177" spans="1:7" ht="15" customHeight="1">
      <c r="A1177" s="655"/>
      <c r="B1177" s="655"/>
      <c r="C1177" s="656"/>
      <c r="D1177" s="656"/>
      <c r="E1177" s="656"/>
      <c r="F1177" s="655"/>
      <c r="G1177" s="655"/>
    </row>
    <row r="1178" spans="1:7" ht="15" customHeight="1">
      <c r="A1178" s="655"/>
      <c r="B1178" s="655"/>
      <c r="C1178" s="656"/>
      <c r="D1178" s="656"/>
      <c r="E1178" s="656"/>
      <c r="F1178" s="655"/>
      <c r="G1178" s="655"/>
    </row>
    <row r="1179" spans="1:7" ht="15" customHeight="1">
      <c r="A1179" s="655"/>
      <c r="B1179" s="655"/>
      <c r="C1179" s="656"/>
      <c r="D1179" s="656"/>
      <c r="E1179" s="656"/>
      <c r="F1179" s="655"/>
      <c r="G1179" s="655"/>
    </row>
    <row r="1180" spans="1:7" ht="15" customHeight="1">
      <c r="A1180" s="655"/>
      <c r="B1180" s="655"/>
      <c r="C1180" s="656"/>
      <c r="D1180" s="656"/>
      <c r="E1180" s="656"/>
      <c r="F1180" s="655"/>
      <c r="G1180" s="655"/>
    </row>
    <row r="1181" spans="1:7" ht="15" customHeight="1">
      <c r="A1181" s="655"/>
      <c r="B1181" s="655"/>
      <c r="C1181" s="656"/>
      <c r="D1181" s="656"/>
      <c r="E1181" s="656"/>
      <c r="F1181" s="655"/>
      <c r="G1181" s="655"/>
    </row>
    <row r="1182" spans="1:7" ht="15" customHeight="1">
      <c r="A1182" s="655"/>
      <c r="B1182" s="655"/>
      <c r="C1182" s="656"/>
      <c r="D1182" s="656"/>
      <c r="E1182" s="656"/>
      <c r="F1182" s="655"/>
      <c r="G1182" s="655"/>
    </row>
    <row r="1183" spans="1:7" ht="15" customHeight="1">
      <c r="A1183" s="655"/>
      <c r="B1183" s="655"/>
      <c r="C1183" s="656"/>
      <c r="D1183" s="656"/>
      <c r="E1183" s="656"/>
      <c r="F1183" s="655"/>
      <c r="G1183" s="655"/>
    </row>
    <row r="1184" spans="1:7" ht="15" customHeight="1">
      <c r="A1184" s="655"/>
      <c r="B1184" s="655"/>
      <c r="C1184" s="656"/>
      <c r="D1184" s="656"/>
      <c r="E1184" s="656"/>
      <c r="F1184" s="655"/>
      <c r="G1184" s="655"/>
    </row>
    <row r="1185" spans="1:7" ht="15" customHeight="1">
      <c r="A1185" s="655"/>
      <c r="B1185" s="655"/>
      <c r="C1185" s="656"/>
      <c r="D1185" s="656"/>
      <c r="E1185" s="656"/>
      <c r="F1185" s="655"/>
      <c r="G1185" s="655"/>
    </row>
    <row r="1186" spans="1:7" ht="15" customHeight="1">
      <c r="A1186" s="655"/>
      <c r="B1186" s="655"/>
      <c r="C1186" s="656"/>
      <c r="D1186" s="656"/>
      <c r="E1186" s="656"/>
      <c r="F1186" s="655"/>
      <c r="G1186" s="655"/>
    </row>
    <row r="1187" spans="1:7" ht="15" customHeight="1">
      <c r="A1187" s="655"/>
      <c r="B1187" s="655"/>
      <c r="C1187" s="656"/>
      <c r="D1187" s="656"/>
      <c r="E1187" s="656"/>
      <c r="F1187" s="655"/>
      <c r="G1187" s="655"/>
    </row>
    <row r="1188" spans="1:7" ht="15" customHeight="1">
      <c r="A1188" s="655"/>
      <c r="B1188" s="655"/>
      <c r="C1188" s="656"/>
      <c r="D1188" s="656"/>
      <c r="E1188" s="656"/>
      <c r="F1188" s="655"/>
      <c r="G1188" s="655"/>
    </row>
    <row r="1189" spans="1:7" ht="15" customHeight="1">
      <c r="A1189" s="655"/>
      <c r="B1189" s="655"/>
      <c r="C1189" s="656"/>
      <c r="D1189" s="656"/>
      <c r="E1189" s="656"/>
      <c r="F1189" s="655"/>
      <c r="G1189" s="655"/>
    </row>
    <row r="1190" spans="1:7" ht="15" customHeight="1">
      <c r="A1190" s="655"/>
      <c r="B1190" s="655"/>
      <c r="C1190" s="656"/>
      <c r="D1190" s="656"/>
      <c r="E1190" s="656"/>
      <c r="F1190" s="655"/>
      <c r="G1190" s="655"/>
    </row>
    <row r="1191" spans="1:7" ht="15" customHeight="1">
      <c r="A1191" s="655"/>
      <c r="B1191" s="655"/>
      <c r="C1191" s="656"/>
      <c r="D1191" s="656"/>
      <c r="E1191" s="656"/>
      <c r="F1191" s="655"/>
      <c r="G1191" s="655"/>
    </row>
    <row r="1192" spans="1:7" ht="15" customHeight="1">
      <c r="A1192" s="655"/>
      <c r="B1192" s="655"/>
      <c r="C1192" s="656"/>
      <c r="D1192" s="656"/>
      <c r="E1192" s="656"/>
      <c r="F1192" s="655"/>
      <c r="G1192" s="655"/>
    </row>
    <row r="1193" spans="1:7" ht="15" customHeight="1">
      <c r="A1193" s="655"/>
      <c r="B1193" s="655"/>
      <c r="C1193" s="656"/>
      <c r="D1193" s="656"/>
      <c r="E1193" s="656"/>
      <c r="F1193" s="655"/>
      <c r="G1193" s="655"/>
    </row>
    <row r="1194" spans="1:7" ht="15" customHeight="1">
      <c r="A1194" s="655"/>
      <c r="B1194" s="655"/>
      <c r="C1194" s="656"/>
      <c r="D1194" s="656"/>
      <c r="E1194" s="656"/>
      <c r="F1194" s="655"/>
      <c r="G1194" s="655"/>
    </row>
    <row r="1195" spans="1:7" ht="15" customHeight="1">
      <c r="A1195" s="655"/>
      <c r="B1195" s="655"/>
      <c r="C1195" s="656"/>
      <c r="D1195" s="656"/>
      <c r="E1195" s="656"/>
      <c r="F1195" s="655"/>
      <c r="G1195" s="655"/>
    </row>
    <row r="1196" spans="1:7" ht="15" customHeight="1">
      <c r="A1196" s="655"/>
      <c r="B1196" s="655"/>
      <c r="C1196" s="656"/>
      <c r="D1196" s="656"/>
      <c r="E1196" s="656"/>
      <c r="F1196" s="655"/>
      <c r="G1196" s="655"/>
    </row>
    <row r="1197" spans="1:7" ht="15" customHeight="1">
      <c r="A1197" s="655"/>
      <c r="B1197" s="655"/>
      <c r="C1197" s="656"/>
      <c r="D1197" s="656"/>
      <c r="E1197" s="656"/>
      <c r="F1197" s="655"/>
      <c r="G1197" s="655"/>
    </row>
    <row r="1198" spans="1:7" ht="15" customHeight="1">
      <c r="A1198" s="655"/>
      <c r="B1198" s="655"/>
      <c r="C1198" s="656"/>
      <c r="D1198" s="656"/>
      <c r="E1198" s="656"/>
      <c r="F1198" s="655"/>
      <c r="G1198" s="655"/>
    </row>
    <row r="1199" spans="1:7" ht="15" customHeight="1">
      <c r="A1199" s="655"/>
      <c r="B1199" s="655"/>
      <c r="C1199" s="656"/>
      <c r="D1199" s="656"/>
      <c r="E1199" s="656"/>
      <c r="F1199" s="655"/>
      <c r="G1199" s="655"/>
    </row>
    <row r="1200" spans="1:7" ht="15" customHeight="1">
      <c r="A1200" s="655"/>
      <c r="B1200" s="655"/>
      <c r="C1200" s="656"/>
      <c r="D1200" s="656"/>
      <c r="E1200" s="656"/>
      <c r="F1200" s="655"/>
      <c r="G1200" s="655"/>
    </row>
    <row r="1201" spans="1:7" ht="15" customHeight="1">
      <c r="A1201" s="655"/>
      <c r="B1201" s="655"/>
      <c r="C1201" s="656"/>
      <c r="D1201" s="656"/>
      <c r="E1201" s="656"/>
      <c r="F1201" s="655"/>
      <c r="G1201" s="655"/>
    </row>
    <row r="1202" spans="1:7" ht="15" customHeight="1">
      <c r="A1202" s="655"/>
      <c r="B1202" s="655"/>
      <c r="C1202" s="656"/>
      <c r="D1202" s="656"/>
      <c r="E1202" s="656"/>
      <c r="F1202" s="655"/>
      <c r="G1202" s="655"/>
    </row>
    <row r="1203" spans="1:7" ht="15" customHeight="1">
      <c r="A1203" s="655"/>
      <c r="B1203" s="655"/>
      <c r="C1203" s="656"/>
      <c r="D1203" s="656"/>
      <c r="E1203" s="656"/>
      <c r="F1203" s="655"/>
      <c r="G1203" s="655"/>
    </row>
    <row r="1204" spans="1:7" ht="15" customHeight="1">
      <c r="A1204" s="655"/>
      <c r="B1204" s="655"/>
      <c r="C1204" s="656"/>
      <c r="D1204" s="656"/>
      <c r="E1204" s="656"/>
      <c r="F1204" s="655"/>
      <c r="G1204" s="655"/>
    </row>
    <row r="1205" spans="1:7" ht="15" customHeight="1">
      <c r="A1205" s="655"/>
      <c r="B1205" s="655"/>
      <c r="C1205" s="656"/>
      <c r="D1205" s="656"/>
      <c r="E1205" s="656"/>
      <c r="F1205" s="655"/>
      <c r="G1205" s="655"/>
    </row>
    <row r="1206" spans="1:7" ht="15" customHeight="1">
      <c r="A1206" s="655"/>
      <c r="B1206" s="655"/>
      <c r="C1206" s="656"/>
      <c r="D1206" s="656"/>
      <c r="E1206" s="656"/>
      <c r="F1206" s="655"/>
      <c r="G1206" s="655"/>
    </row>
    <row r="1207" spans="1:7" ht="15" customHeight="1">
      <c r="A1207" s="655"/>
      <c r="B1207" s="655"/>
      <c r="C1207" s="656"/>
      <c r="D1207" s="656"/>
      <c r="E1207" s="656"/>
      <c r="F1207" s="655"/>
      <c r="G1207" s="655"/>
    </row>
    <row r="1208" spans="1:7" ht="15" customHeight="1">
      <c r="A1208" s="655"/>
      <c r="B1208" s="655"/>
      <c r="C1208" s="656"/>
      <c r="D1208" s="656"/>
      <c r="E1208" s="656"/>
      <c r="F1208" s="655"/>
      <c r="G1208" s="655"/>
    </row>
    <row r="1209" spans="1:7" ht="15" customHeight="1">
      <c r="A1209" s="655"/>
      <c r="B1209" s="655"/>
      <c r="C1209" s="656"/>
      <c r="D1209" s="656"/>
      <c r="E1209" s="656"/>
      <c r="F1209" s="655"/>
      <c r="G1209" s="655"/>
    </row>
    <row r="1210" spans="1:7" ht="15" customHeight="1">
      <c r="A1210" s="655"/>
      <c r="B1210" s="655"/>
      <c r="C1210" s="656"/>
      <c r="D1210" s="656"/>
      <c r="E1210" s="656"/>
      <c r="F1210" s="655"/>
      <c r="G1210" s="655"/>
    </row>
    <row r="1211" spans="1:7" ht="15" customHeight="1">
      <c r="A1211" s="655"/>
      <c r="B1211" s="655"/>
      <c r="C1211" s="656"/>
      <c r="D1211" s="656"/>
      <c r="E1211" s="656"/>
      <c r="F1211" s="655"/>
      <c r="G1211" s="655"/>
    </row>
    <row r="1212" spans="1:7" ht="15" customHeight="1">
      <c r="A1212" s="655"/>
      <c r="B1212" s="655"/>
      <c r="C1212" s="656"/>
      <c r="D1212" s="656"/>
      <c r="E1212" s="656"/>
      <c r="F1212" s="655"/>
      <c r="G1212" s="655"/>
    </row>
    <row r="1213" spans="1:7" ht="15" customHeight="1">
      <c r="A1213" s="655"/>
      <c r="B1213" s="655"/>
      <c r="C1213" s="656"/>
      <c r="D1213" s="656"/>
      <c r="E1213" s="656"/>
      <c r="F1213" s="655"/>
      <c r="G1213" s="655"/>
    </row>
    <row r="1214" spans="1:7" ht="15" customHeight="1">
      <c r="A1214" s="655"/>
      <c r="B1214" s="655"/>
      <c r="C1214" s="656"/>
      <c r="D1214" s="656"/>
      <c r="E1214" s="656"/>
      <c r="F1214" s="655"/>
      <c r="G1214" s="655"/>
    </row>
    <row r="1215" spans="1:7" ht="15" customHeight="1">
      <c r="A1215" s="655"/>
      <c r="B1215" s="655"/>
      <c r="C1215" s="656"/>
      <c r="D1215" s="656"/>
      <c r="E1215" s="656"/>
      <c r="F1215" s="655"/>
      <c r="G1215" s="655"/>
    </row>
    <row r="1216" spans="1:7" ht="15" customHeight="1">
      <c r="A1216" s="655"/>
      <c r="B1216" s="655"/>
      <c r="C1216" s="656"/>
      <c r="D1216" s="656"/>
      <c r="E1216" s="656"/>
      <c r="F1216" s="655"/>
      <c r="G1216" s="655"/>
    </row>
    <row r="1217" spans="1:7" ht="15" customHeight="1">
      <c r="A1217" s="655"/>
      <c r="B1217" s="655"/>
      <c r="C1217" s="656"/>
      <c r="D1217" s="656"/>
      <c r="E1217" s="656"/>
      <c r="F1217" s="655"/>
      <c r="G1217" s="655"/>
    </row>
    <row r="1218" spans="1:7" ht="15" customHeight="1">
      <c r="A1218" s="655"/>
      <c r="B1218" s="655"/>
      <c r="C1218" s="656"/>
      <c r="D1218" s="656"/>
      <c r="E1218" s="656"/>
      <c r="F1218" s="655"/>
      <c r="G1218" s="655"/>
    </row>
    <row r="1219" spans="1:7" ht="15" customHeight="1">
      <c r="A1219" s="655"/>
      <c r="B1219" s="655"/>
      <c r="C1219" s="656"/>
      <c r="D1219" s="656"/>
      <c r="E1219" s="656"/>
      <c r="F1219" s="655"/>
      <c r="G1219" s="655"/>
    </row>
    <row r="1220" spans="1:7" ht="15" customHeight="1">
      <c r="A1220" s="655"/>
      <c r="B1220" s="655"/>
      <c r="C1220" s="656"/>
      <c r="D1220" s="656"/>
      <c r="E1220" s="656"/>
      <c r="F1220" s="655"/>
      <c r="G1220" s="655"/>
    </row>
    <row r="1221" spans="1:7" ht="15" customHeight="1">
      <c r="A1221" s="655"/>
      <c r="B1221" s="655"/>
      <c r="C1221" s="656"/>
      <c r="D1221" s="656"/>
      <c r="E1221" s="656"/>
      <c r="F1221" s="655"/>
      <c r="G1221" s="655"/>
    </row>
    <row r="1222" spans="1:7" ht="15" customHeight="1">
      <c r="A1222" s="655"/>
      <c r="B1222" s="655"/>
      <c r="C1222" s="656"/>
      <c r="D1222" s="656"/>
      <c r="E1222" s="656"/>
      <c r="F1222" s="655"/>
      <c r="G1222" s="655"/>
    </row>
    <row r="1223" spans="1:7" ht="15" customHeight="1">
      <c r="A1223" s="655"/>
      <c r="B1223" s="655"/>
      <c r="C1223" s="656"/>
      <c r="D1223" s="656"/>
      <c r="E1223" s="656"/>
      <c r="F1223" s="655"/>
      <c r="G1223" s="655"/>
    </row>
    <row r="1224" spans="1:7" ht="15" customHeight="1">
      <c r="A1224" s="655"/>
      <c r="B1224" s="655"/>
      <c r="C1224" s="656"/>
      <c r="D1224" s="656"/>
      <c r="E1224" s="656"/>
      <c r="F1224" s="655"/>
      <c r="G1224" s="655"/>
    </row>
    <row r="1225" spans="1:7" ht="15" customHeight="1">
      <c r="A1225" s="655"/>
      <c r="B1225" s="655"/>
      <c r="C1225" s="656"/>
      <c r="D1225" s="656"/>
      <c r="E1225" s="656"/>
      <c r="F1225" s="655"/>
      <c r="G1225" s="655"/>
    </row>
    <row r="1226" spans="1:7" ht="15" customHeight="1">
      <c r="A1226" s="655"/>
      <c r="B1226" s="655"/>
      <c r="C1226" s="656"/>
      <c r="D1226" s="656"/>
      <c r="E1226" s="656"/>
      <c r="F1226" s="655"/>
      <c r="G1226" s="655"/>
    </row>
    <row r="1227" spans="1:7" ht="15" customHeight="1">
      <c r="A1227" s="655"/>
      <c r="B1227" s="655"/>
      <c r="C1227" s="656"/>
      <c r="D1227" s="656"/>
      <c r="E1227" s="656"/>
      <c r="F1227" s="655"/>
      <c r="G1227" s="655"/>
    </row>
    <row r="1228" spans="1:7" ht="15" customHeight="1">
      <c r="A1228" s="655"/>
      <c r="B1228" s="655"/>
      <c r="C1228" s="656"/>
      <c r="D1228" s="656"/>
      <c r="E1228" s="656"/>
      <c r="F1228" s="655"/>
      <c r="G1228" s="655"/>
    </row>
    <row r="1229" spans="1:7" ht="15" customHeight="1">
      <c r="A1229" s="655"/>
      <c r="B1229" s="655"/>
      <c r="C1229" s="656"/>
      <c r="D1229" s="656"/>
      <c r="E1229" s="656"/>
      <c r="F1229" s="655"/>
      <c r="G1229" s="655"/>
    </row>
    <row r="1230" spans="1:7" ht="15" customHeight="1">
      <c r="A1230" s="655"/>
      <c r="B1230" s="655"/>
      <c r="C1230" s="656"/>
      <c r="D1230" s="656"/>
      <c r="E1230" s="656"/>
      <c r="F1230" s="655"/>
      <c r="G1230" s="655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599" customWidth="1"/>
    <col min="2" max="2" width="31.25" style="599" customWidth="1"/>
    <col min="3" max="3" width="14.625" style="599" customWidth="1"/>
    <col min="4" max="11" width="12.875" style="599" customWidth="1"/>
    <col min="12" max="12" width="12.875" customWidth="1"/>
    <col min="13" max="13" width="39.75" customWidth="1"/>
    <col min="14" max="14" width="14.875" customWidth="1"/>
    <col min="15" max="15" width="12.875" style="500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21" t="s">
        <v>475</v>
      </c>
      <c r="B2" s="708" t="s">
        <v>476</v>
      </c>
      <c r="C2" s="710"/>
      <c r="D2" s="710"/>
      <c r="E2" s="710"/>
      <c r="F2" s="708" t="s">
        <v>1</v>
      </c>
      <c r="G2" s="708" t="s">
        <v>476</v>
      </c>
      <c r="H2" s="664"/>
      <c r="I2" s="664">
        <v>-87636</v>
      </c>
      <c r="J2" s="664">
        <v>0</v>
      </c>
      <c r="K2" s="664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08" t="s">
        <v>477</v>
      </c>
      <c r="B3" s="708" t="s">
        <v>478</v>
      </c>
      <c r="C3" s="710"/>
      <c r="D3" s="710"/>
      <c r="E3" s="710"/>
      <c r="F3" s="708" t="s">
        <v>1</v>
      </c>
      <c r="G3" s="708" t="s">
        <v>478</v>
      </c>
      <c r="H3" s="664"/>
      <c r="I3" s="663">
        <v>3380</v>
      </c>
      <c r="J3" s="663">
        <v>0</v>
      </c>
      <c r="K3" s="663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7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08" t="s">
        <v>479</v>
      </c>
      <c r="B4" s="708" t="s">
        <v>480</v>
      </c>
      <c r="C4" s="710"/>
      <c r="D4" s="710"/>
      <c r="E4" s="710"/>
      <c r="F4" s="708" t="s">
        <v>1</v>
      </c>
      <c r="G4" s="708" t="s">
        <v>480</v>
      </c>
      <c r="H4" s="664"/>
      <c r="I4" s="664">
        <v>242199</v>
      </c>
      <c r="J4" s="664">
        <v>0</v>
      </c>
      <c r="K4" s="664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7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08" t="s">
        <v>481</v>
      </c>
      <c r="B5" s="708" t="s">
        <v>482</v>
      </c>
      <c r="C5" s="709"/>
      <c r="D5" s="709"/>
      <c r="E5" s="709"/>
      <c r="F5" s="708" t="s">
        <v>1</v>
      </c>
      <c r="G5" s="708" t="s">
        <v>482</v>
      </c>
      <c r="H5" s="709"/>
      <c r="I5" s="710">
        <v>218221</v>
      </c>
      <c r="J5" s="710">
        <v>0</v>
      </c>
      <c r="K5" s="71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7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08" t="s">
        <v>483</v>
      </c>
      <c r="B6" s="708" t="s">
        <v>484</v>
      </c>
      <c r="C6" s="710"/>
      <c r="D6" s="710"/>
      <c r="E6" s="710"/>
      <c r="F6" s="708" t="s">
        <v>1</v>
      </c>
      <c r="G6" s="708" t="s">
        <v>484</v>
      </c>
      <c r="H6" s="664"/>
      <c r="I6" s="663">
        <v>202342</v>
      </c>
      <c r="J6" s="663">
        <v>0</v>
      </c>
      <c r="K6" s="663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485</v>
      </c>
      <c r="B7" s="708" t="s">
        <v>486</v>
      </c>
      <c r="C7" s="710"/>
      <c r="D7" s="710"/>
      <c r="E7" s="710"/>
      <c r="F7" s="708" t="s">
        <v>1</v>
      </c>
      <c r="G7" s="708" t="s">
        <v>486</v>
      </c>
      <c r="H7" s="664"/>
      <c r="I7" s="664">
        <v>171402</v>
      </c>
      <c r="J7" s="664">
        <v>0</v>
      </c>
      <c r="K7" s="664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7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487</v>
      </c>
      <c r="B8" s="708" t="s">
        <v>488</v>
      </c>
      <c r="C8" s="710"/>
      <c r="D8" s="710"/>
      <c r="E8" s="710"/>
      <c r="F8" s="708" t="s">
        <v>1</v>
      </c>
      <c r="G8" s="708" t="s">
        <v>488</v>
      </c>
      <c r="H8" s="657"/>
      <c r="I8" s="656">
        <v>123120</v>
      </c>
      <c r="J8" s="656">
        <v>0</v>
      </c>
      <c r="K8" s="656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7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489</v>
      </c>
      <c r="B9" s="708" t="s">
        <v>490</v>
      </c>
      <c r="C9" s="710"/>
      <c r="D9" s="710"/>
      <c r="E9" s="710"/>
      <c r="F9" s="708" t="s">
        <v>1</v>
      </c>
      <c r="G9" s="708" t="s">
        <v>490</v>
      </c>
      <c r="H9" s="657"/>
      <c r="I9" s="656">
        <v>70058</v>
      </c>
      <c r="J9" s="656">
        <v>0</v>
      </c>
      <c r="K9" s="656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7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1243</v>
      </c>
      <c r="B10" s="708" t="s">
        <v>491</v>
      </c>
      <c r="C10" s="710"/>
      <c r="D10" s="710"/>
      <c r="E10" s="710"/>
      <c r="F10" s="708" t="s">
        <v>1</v>
      </c>
      <c r="G10" s="708" t="s">
        <v>491</v>
      </c>
      <c r="H10" s="664"/>
      <c r="I10" s="663">
        <v>63471</v>
      </c>
      <c r="J10" s="663">
        <v>0</v>
      </c>
      <c r="K10" s="663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8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492</v>
      </c>
      <c r="B11" s="708" t="s">
        <v>493</v>
      </c>
      <c r="C11" s="710"/>
      <c r="D11" s="710"/>
      <c r="E11" s="710"/>
      <c r="F11" s="708" t="s">
        <v>1</v>
      </c>
      <c r="G11" s="708" t="s">
        <v>493</v>
      </c>
      <c r="H11" s="664"/>
      <c r="I11" s="663">
        <v>-181040</v>
      </c>
      <c r="J11" s="663">
        <v>0</v>
      </c>
      <c r="K11" s="663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494</v>
      </c>
      <c r="B12" s="708" t="s">
        <v>495</v>
      </c>
      <c r="C12" s="709"/>
      <c r="D12" s="709"/>
      <c r="E12" s="709"/>
      <c r="F12" s="708" t="s">
        <v>1</v>
      </c>
      <c r="G12" s="708" t="s">
        <v>495</v>
      </c>
      <c r="H12" s="709"/>
      <c r="I12" s="710">
        <v>93899</v>
      </c>
      <c r="J12" s="710">
        <v>0</v>
      </c>
      <c r="K12" s="71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1244</v>
      </c>
      <c r="B13" s="708" t="s">
        <v>496</v>
      </c>
      <c r="C13" s="710"/>
      <c r="D13" s="710"/>
      <c r="E13" s="710"/>
      <c r="F13" s="708" t="s">
        <v>1</v>
      </c>
      <c r="G13" s="708" t="s">
        <v>2447</v>
      </c>
      <c r="H13" s="664"/>
      <c r="I13" s="663">
        <v>0.03</v>
      </c>
      <c r="J13" s="663">
        <v>0</v>
      </c>
      <c r="K13" s="663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7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1245</v>
      </c>
      <c r="B14" s="708" t="s">
        <v>497</v>
      </c>
      <c r="C14" s="710"/>
      <c r="D14" s="710"/>
      <c r="E14" s="710"/>
      <c r="F14" s="708" t="s">
        <v>1</v>
      </c>
      <c r="G14" s="708" t="s">
        <v>2447</v>
      </c>
      <c r="H14" s="664"/>
      <c r="I14" s="663">
        <v>0.04</v>
      </c>
      <c r="J14" s="663">
        <v>0</v>
      </c>
      <c r="K14" s="663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7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1246</v>
      </c>
      <c r="B15" s="708" t="s">
        <v>498</v>
      </c>
      <c r="C15" s="709"/>
      <c r="D15" s="709"/>
      <c r="E15" s="709"/>
      <c r="F15" s="708" t="s">
        <v>1</v>
      </c>
      <c r="G15" s="708" t="s">
        <v>2447</v>
      </c>
      <c r="H15" s="709"/>
      <c r="I15" s="710">
        <v>7.0000000000000007E-2</v>
      </c>
      <c r="J15" s="710">
        <v>0</v>
      </c>
      <c r="K15" s="71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7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1247</v>
      </c>
      <c r="B16" s="708" t="s">
        <v>988</v>
      </c>
      <c r="C16" s="709"/>
      <c r="D16" s="709"/>
      <c r="E16" s="709"/>
      <c r="F16" s="708" t="s">
        <v>1</v>
      </c>
      <c r="G16" s="708" t="s">
        <v>2447</v>
      </c>
      <c r="H16" s="709"/>
      <c r="I16" s="710">
        <v>0.1</v>
      </c>
      <c r="J16" s="710">
        <v>0</v>
      </c>
      <c r="K16" s="71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7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1248</v>
      </c>
      <c r="B17" s="708" t="s">
        <v>499</v>
      </c>
      <c r="C17" s="710"/>
      <c r="D17" s="710"/>
      <c r="E17" s="710"/>
      <c r="F17" s="708" t="s">
        <v>1</v>
      </c>
      <c r="G17" s="708" t="s">
        <v>2447</v>
      </c>
      <c r="H17" s="664"/>
      <c r="I17" s="663">
        <v>0.12</v>
      </c>
      <c r="J17" s="663">
        <v>0</v>
      </c>
      <c r="K17" s="663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7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1249</v>
      </c>
      <c r="B18" s="708" t="s">
        <v>500</v>
      </c>
      <c r="C18" s="710"/>
      <c r="D18" s="710"/>
      <c r="E18" s="710"/>
      <c r="F18" s="708" t="s">
        <v>1</v>
      </c>
      <c r="G18" s="708" t="s">
        <v>2447</v>
      </c>
      <c r="H18" s="657"/>
      <c r="I18" s="656">
        <v>0.08</v>
      </c>
      <c r="J18" s="656">
        <v>0</v>
      </c>
      <c r="K18" s="656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1250</v>
      </c>
      <c r="B19" s="708" t="s">
        <v>501</v>
      </c>
      <c r="C19" s="710"/>
      <c r="D19" s="710"/>
      <c r="E19" s="710"/>
      <c r="F19" s="708" t="s">
        <v>1</v>
      </c>
      <c r="G19" s="708" t="s">
        <v>2447</v>
      </c>
      <c r="H19" s="664"/>
      <c r="I19" s="663">
        <v>0.1</v>
      </c>
      <c r="J19" s="663">
        <v>0</v>
      </c>
      <c r="K19" s="663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7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1251</v>
      </c>
      <c r="B20" s="708" t="s">
        <v>502</v>
      </c>
      <c r="C20" s="710"/>
      <c r="D20" s="710"/>
      <c r="E20" s="710"/>
      <c r="F20" s="708" t="s">
        <v>1</v>
      </c>
      <c r="G20" s="708" t="s">
        <v>2447</v>
      </c>
      <c r="H20" s="600"/>
      <c r="I20" s="601">
        <v>0.05</v>
      </c>
      <c r="J20" s="601">
        <v>0</v>
      </c>
      <c r="K20" s="601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7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1252</v>
      </c>
      <c r="B21" s="708" t="s">
        <v>503</v>
      </c>
      <c r="C21" s="710"/>
      <c r="D21" s="710"/>
      <c r="E21" s="710"/>
      <c r="F21" s="708" t="s">
        <v>1</v>
      </c>
      <c r="G21" s="708" t="s">
        <v>2447</v>
      </c>
      <c r="H21" s="664"/>
      <c r="I21" s="663">
        <v>0.01</v>
      </c>
      <c r="J21" s="663">
        <v>0</v>
      </c>
      <c r="K21" s="663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1253</v>
      </c>
      <c r="B22" s="708" t="s">
        <v>504</v>
      </c>
      <c r="C22" s="709"/>
      <c r="D22" s="709"/>
      <c r="E22" s="709"/>
      <c r="F22" s="708" t="s">
        <v>1</v>
      </c>
      <c r="G22" s="708" t="s">
        <v>2447</v>
      </c>
      <c r="H22" s="709"/>
      <c r="I22" s="710">
        <v>0.06</v>
      </c>
      <c r="J22" s="710">
        <v>0</v>
      </c>
      <c r="K22" s="71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7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1254</v>
      </c>
      <c r="B23" s="708" t="s">
        <v>505</v>
      </c>
      <c r="C23" s="710"/>
      <c r="D23" s="710"/>
      <c r="E23" s="710"/>
      <c r="F23" s="708" t="s">
        <v>1</v>
      </c>
      <c r="G23" s="708" t="s">
        <v>2447</v>
      </c>
      <c r="H23" s="664"/>
      <c r="I23" s="663">
        <v>0.03</v>
      </c>
      <c r="J23" s="663">
        <v>0</v>
      </c>
      <c r="K23" s="663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7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2538</v>
      </c>
      <c r="B24" s="708" t="s">
        <v>2539</v>
      </c>
      <c r="C24" s="710"/>
      <c r="D24" s="710"/>
      <c r="E24" s="710"/>
      <c r="F24" s="708" t="s">
        <v>1</v>
      </c>
      <c r="G24" s="708" t="s">
        <v>2447</v>
      </c>
      <c r="H24" s="664"/>
      <c r="I24" s="664">
        <v>0</v>
      </c>
      <c r="J24" s="664">
        <v>0.05</v>
      </c>
      <c r="K24" s="664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7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08" t="s">
        <v>1255</v>
      </c>
      <c r="B25" s="708" t="s">
        <v>506</v>
      </c>
      <c r="C25" s="710"/>
      <c r="D25" s="710"/>
      <c r="E25" s="710"/>
      <c r="F25" s="708" t="s">
        <v>1</v>
      </c>
      <c r="G25" s="708" t="s">
        <v>2449</v>
      </c>
      <c r="H25" s="657"/>
      <c r="I25" s="656">
        <v>7.0000000000000007E-2</v>
      </c>
      <c r="J25" s="656">
        <v>0</v>
      </c>
      <c r="K25" s="656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7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1256</v>
      </c>
      <c r="B26" s="708" t="s">
        <v>507</v>
      </c>
      <c r="C26" s="710"/>
      <c r="D26" s="710"/>
      <c r="E26" s="710"/>
      <c r="F26" s="708" t="s">
        <v>1</v>
      </c>
      <c r="G26" s="708" t="s">
        <v>2449</v>
      </c>
      <c r="H26" s="664"/>
      <c r="I26" s="663">
        <v>7.0000000000000007E-2</v>
      </c>
      <c r="J26" s="663">
        <v>0</v>
      </c>
      <c r="K26" s="663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7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2540</v>
      </c>
      <c r="B27" s="708" t="s">
        <v>2541</v>
      </c>
      <c r="C27" s="710"/>
      <c r="D27" s="710"/>
      <c r="E27" s="710"/>
      <c r="F27" s="708" t="s">
        <v>1</v>
      </c>
      <c r="G27" s="708" t="s">
        <v>2449</v>
      </c>
      <c r="H27" s="664"/>
      <c r="I27" s="663">
        <v>0</v>
      </c>
      <c r="J27" s="663">
        <v>0.08</v>
      </c>
      <c r="K27" s="663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7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62" t="s">
        <v>1257</v>
      </c>
      <c r="B28" s="662" t="s">
        <v>1258</v>
      </c>
      <c r="C28" s="663"/>
      <c r="D28" s="663"/>
      <c r="E28" s="663"/>
      <c r="F28" s="662" t="s">
        <v>1</v>
      </c>
      <c r="G28" s="662" t="s">
        <v>2467</v>
      </c>
      <c r="H28" s="657"/>
      <c r="I28" s="656">
        <v>0.04</v>
      </c>
      <c r="J28" s="656">
        <v>0</v>
      </c>
      <c r="K28" s="656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8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989</v>
      </c>
      <c r="B29" s="708" t="s">
        <v>990</v>
      </c>
      <c r="C29" s="709"/>
      <c r="D29" s="709"/>
      <c r="E29" s="709"/>
      <c r="F29" s="708" t="s">
        <v>1</v>
      </c>
      <c r="G29" s="708" t="s">
        <v>2467</v>
      </c>
      <c r="H29" s="709"/>
      <c r="I29" s="710">
        <v>0.02</v>
      </c>
      <c r="J29" s="710">
        <v>0</v>
      </c>
      <c r="K29" s="71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8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2047</v>
      </c>
      <c r="B30" s="708" t="s">
        <v>2048</v>
      </c>
      <c r="C30" s="709"/>
      <c r="D30" s="709"/>
      <c r="E30" s="709"/>
      <c r="F30" s="708" t="s">
        <v>1</v>
      </c>
      <c r="G30" s="708" t="s">
        <v>2467</v>
      </c>
      <c r="H30" s="709"/>
      <c r="I30" s="710">
        <v>0.01</v>
      </c>
      <c r="J30" s="710">
        <v>0</v>
      </c>
      <c r="K30" s="71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7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2076</v>
      </c>
      <c r="B31" s="708" t="s">
        <v>2077</v>
      </c>
      <c r="C31" s="710"/>
      <c r="D31" s="710"/>
      <c r="E31" s="710"/>
      <c r="F31" s="708" t="s">
        <v>1</v>
      </c>
      <c r="G31" s="708" t="s">
        <v>2467</v>
      </c>
      <c r="H31" s="602"/>
      <c r="I31" s="601">
        <v>0.05</v>
      </c>
      <c r="J31" s="601">
        <v>0</v>
      </c>
      <c r="K31" s="601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2113</v>
      </c>
      <c r="B32" s="708" t="s">
        <v>2114</v>
      </c>
      <c r="C32" s="710"/>
      <c r="D32" s="710"/>
      <c r="E32" s="710"/>
      <c r="F32" s="708" t="s">
        <v>1</v>
      </c>
      <c r="G32" s="708" t="s">
        <v>2467</v>
      </c>
      <c r="H32" s="657"/>
      <c r="I32" s="656">
        <v>0.02</v>
      </c>
      <c r="J32" s="656">
        <v>0</v>
      </c>
      <c r="K32" s="656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8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08" t="s">
        <v>2412</v>
      </c>
      <c r="B33" s="708" t="s">
        <v>2413</v>
      </c>
      <c r="C33" s="710"/>
      <c r="D33" s="710"/>
      <c r="E33" s="710"/>
      <c r="F33" s="708" t="s">
        <v>1</v>
      </c>
      <c r="G33" s="708" t="s">
        <v>2467</v>
      </c>
      <c r="H33" s="664"/>
      <c r="I33" s="663">
        <v>0.03</v>
      </c>
      <c r="J33" s="663">
        <v>0</v>
      </c>
      <c r="K33" s="663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8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08" t="s">
        <v>2165</v>
      </c>
      <c r="B34" s="708" t="s">
        <v>2166</v>
      </c>
      <c r="C34" s="710"/>
      <c r="D34" s="710"/>
      <c r="E34" s="710"/>
      <c r="F34" s="708" t="s">
        <v>1</v>
      </c>
      <c r="G34" s="708" t="s">
        <v>2467</v>
      </c>
      <c r="H34" s="664"/>
      <c r="I34" s="663">
        <v>0.06</v>
      </c>
      <c r="J34" s="663">
        <v>0</v>
      </c>
      <c r="K34" s="663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7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08" t="s">
        <v>2187</v>
      </c>
      <c r="B35" s="708" t="s">
        <v>2188</v>
      </c>
      <c r="C35" s="710"/>
      <c r="D35" s="710"/>
      <c r="E35" s="710"/>
      <c r="F35" s="708" t="s">
        <v>1</v>
      </c>
      <c r="G35" s="708" t="s">
        <v>2467</v>
      </c>
      <c r="H35" s="657"/>
      <c r="I35" s="656">
        <v>7.0000000000000007E-2</v>
      </c>
      <c r="J35" s="656">
        <v>0</v>
      </c>
      <c r="K35" s="656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08" t="s">
        <v>2214</v>
      </c>
      <c r="B36" s="708" t="s">
        <v>2215</v>
      </c>
      <c r="C36" s="710"/>
      <c r="D36" s="710"/>
      <c r="E36" s="710"/>
      <c r="F36" s="708" t="s">
        <v>1</v>
      </c>
      <c r="G36" s="708" t="s">
        <v>2467</v>
      </c>
      <c r="H36" s="664"/>
      <c r="I36" s="663">
        <v>0.08</v>
      </c>
      <c r="J36" s="663">
        <v>0</v>
      </c>
      <c r="K36" s="663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7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08" t="s">
        <v>2542</v>
      </c>
      <c r="B37" s="708" t="s">
        <v>2543</v>
      </c>
      <c r="C37" s="710"/>
      <c r="D37" s="710"/>
      <c r="E37" s="710"/>
      <c r="F37" s="708" t="s">
        <v>1</v>
      </c>
      <c r="G37" s="708" t="s">
        <v>2467</v>
      </c>
      <c r="H37" s="657"/>
      <c r="I37" s="656">
        <v>0</v>
      </c>
      <c r="J37" s="656">
        <v>0.05</v>
      </c>
      <c r="K37" s="656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08" t="s">
        <v>1259</v>
      </c>
      <c r="B38" s="708" t="s">
        <v>509</v>
      </c>
      <c r="C38" s="710"/>
      <c r="D38" s="710"/>
      <c r="E38" s="710"/>
      <c r="F38" s="708" t="s">
        <v>1</v>
      </c>
      <c r="G38" s="708" t="s">
        <v>2448</v>
      </c>
      <c r="H38" s="709"/>
      <c r="I38" s="709">
        <v>7.0000000000000007E-2</v>
      </c>
      <c r="J38" s="709">
        <v>0</v>
      </c>
      <c r="K38" s="70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7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08" t="s">
        <v>1260</v>
      </c>
      <c r="B39" s="708" t="s">
        <v>510</v>
      </c>
      <c r="C39" s="710"/>
      <c r="D39" s="710"/>
      <c r="E39" s="710"/>
      <c r="F39" s="708" t="s">
        <v>1</v>
      </c>
      <c r="G39" s="708" t="s">
        <v>2448</v>
      </c>
      <c r="H39" s="664"/>
      <c r="I39" s="663">
        <v>0.12</v>
      </c>
      <c r="J39" s="663">
        <v>0</v>
      </c>
      <c r="K39" s="663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9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08" t="s">
        <v>1261</v>
      </c>
      <c r="B40" s="708" t="s">
        <v>511</v>
      </c>
      <c r="C40" s="710"/>
      <c r="D40" s="710"/>
      <c r="E40" s="710"/>
      <c r="F40" s="708" t="s">
        <v>1</v>
      </c>
      <c r="G40" s="708" t="s">
        <v>2448</v>
      </c>
      <c r="H40" s="664"/>
      <c r="I40" s="664">
        <v>0.26</v>
      </c>
      <c r="J40" s="664">
        <v>0</v>
      </c>
      <c r="K40" s="664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8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08" t="s">
        <v>1262</v>
      </c>
      <c r="B41" s="708" t="s">
        <v>512</v>
      </c>
      <c r="C41" s="710"/>
      <c r="D41" s="710"/>
      <c r="E41" s="710"/>
      <c r="F41" s="708" t="s">
        <v>1</v>
      </c>
      <c r="G41" s="708" t="s">
        <v>2448</v>
      </c>
      <c r="H41" s="657"/>
      <c r="I41" s="656">
        <v>0.14000000000000001</v>
      </c>
      <c r="J41" s="656">
        <v>0</v>
      </c>
      <c r="K41" s="656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7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08" t="s">
        <v>1263</v>
      </c>
      <c r="B42" s="708" t="s">
        <v>513</v>
      </c>
      <c r="C42" s="710"/>
      <c r="D42" s="710"/>
      <c r="E42" s="710"/>
      <c r="F42" s="708" t="s">
        <v>1</v>
      </c>
      <c r="G42" s="708" t="s">
        <v>2448</v>
      </c>
      <c r="H42" s="600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8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08" t="s">
        <v>1264</v>
      </c>
      <c r="B43" s="708" t="s">
        <v>514</v>
      </c>
      <c r="C43" s="710"/>
      <c r="D43" s="710"/>
      <c r="E43" s="710"/>
      <c r="F43" s="708" t="s">
        <v>1</v>
      </c>
      <c r="G43" s="708" t="s">
        <v>2448</v>
      </c>
      <c r="H43" s="664"/>
      <c r="I43" s="664">
        <v>0.15</v>
      </c>
      <c r="J43" s="664">
        <v>0</v>
      </c>
      <c r="K43" s="664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8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08" t="s">
        <v>1265</v>
      </c>
      <c r="B44" s="708" t="s">
        <v>515</v>
      </c>
      <c r="C44" s="710"/>
      <c r="D44" s="710"/>
      <c r="E44" s="710"/>
      <c r="F44" s="708" t="s">
        <v>1</v>
      </c>
      <c r="G44" s="708" t="s">
        <v>2448</v>
      </c>
      <c r="H44" s="664"/>
      <c r="I44" s="664">
        <v>0.2</v>
      </c>
      <c r="J44" s="664">
        <v>0</v>
      </c>
      <c r="K44" s="664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8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08" t="s">
        <v>1266</v>
      </c>
      <c r="B45" s="708" t="s">
        <v>516</v>
      </c>
      <c r="C45" s="710"/>
      <c r="D45" s="710"/>
      <c r="E45" s="710"/>
      <c r="F45" s="708" t="s">
        <v>1</v>
      </c>
      <c r="G45" s="708" t="s">
        <v>2448</v>
      </c>
      <c r="H45" s="664"/>
      <c r="I45" s="663">
        <v>0.17</v>
      </c>
      <c r="J45" s="663">
        <v>0</v>
      </c>
      <c r="K45" s="663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8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08" t="s">
        <v>1267</v>
      </c>
      <c r="B46" s="708" t="s">
        <v>517</v>
      </c>
      <c r="C46" s="710"/>
      <c r="D46" s="710"/>
      <c r="E46" s="710"/>
      <c r="F46" s="708" t="s">
        <v>1</v>
      </c>
      <c r="G46" s="708" t="s">
        <v>2448</v>
      </c>
      <c r="H46" s="664"/>
      <c r="I46" s="663">
        <v>0.19</v>
      </c>
      <c r="J46" s="663">
        <v>0</v>
      </c>
      <c r="K46" s="663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8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08" t="s">
        <v>1268</v>
      </c>
      <c r="B47" s="708" t="s">
        <v>518</v>
      </c>
      <c r="C47" s="710"/>
      <c r="D47" s="710"/>
      <c r="E47" s="710"/>
      <c r="F47" s="708" t="s">
        <v>1</v>
      </c>
      <c r="G47" s="708" t="s">
        <v>2448</v>
      </c>
      <c r="H47" s="664"/>
      <c r="I47" s="664">
        <v>0.17</v>
      </c>
      <c r="J47" s="664">
        <v>0</v>
      </c>
      <c r="K47" s="664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08" t="s">
        <v>1269</v>
      </c>
      <c r="B48" s="708" t="s">
        <v>519</v>
      </c>
      <c r="C48" s="709"/>
      <c r="D48" s="709"/>
      <c r="E48" s="709"/>
      <c r="F48" s="708" t="s">
        <v>1</v>
      </c>
      <c r="G48" s="708" t="s">
        <v>2448</v>
      </c>
      <c r="H48" s="709"/>
      <c r="I48" s="710">
        <v>0.13</v>
      </c>
      <c r="J48" s="710">
        <v>0</v>
      </c>
      <c r="K48" s="71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08" t="s">
        <v>2544</v>
      </c>
      <c r="B49" s="708" t="s">
        <v>2545</v>
      </c>
      <c r="C49" s="710"/>
      <c r="D49" s="710"/>
      <c r="E49" s="710"/>
      <c r="F49" s="708" t="s">
        <v>1</v>
      </c>
      <c r="G49" s="708" t="s">
        <v>2448</v>
      </c>
      <c r="H49" s="664"/>
      <c r="I49" s="663">
        <v>0</v>
      </c>
      <c r="J49" s="663">
        <v>0.08</v>
      </c>
      <c r="K49" s="663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7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08" t="s">
        <v>1270</v>
      </c>
      <c r="B50" s="708" t="s">
        <v>520</v>
      </c>
      <c r="C50" s="710"/>
      <c r="D50" s="710"/>
      <c r="E50" s="710"/>
      <c r="F50" s="708" t="s">
        <v>1</v>
      </c>
      <c r="G50" s="708" t="s">
        <v>2449</v>
      </c>
      <c r="H50" s="664"/>
      <c r="I50" s="664">
        <v>0.04</v>
      </c>
      <c r="J50" s="664">
        <v>0</v>
      </c>
      <c r="K50" s="664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8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08" t="s">
        <v>1271</v>
      </c>
      <c r="B51" s="708" t="s">
        <v>521</v>
      </c>
      <c r="C51" s="710"/>
      <c r="D51" s="710"/>
      <c r="E51" s="710"/>
      <c r="F51" s="708" t="s">
        <v>1</v>
      </c>
      <c r="G51" s="708" t="s">
        <v>2449</v>
      </c>
      <c r="H51" s="664"/>
      <c r="I51" s="663">
        <v>0.09</v>
      </c>
      <c r="J51" s="663">
        <v>0</v>
      </c>
      <c r="K51" s="663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8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08" t="s">
        <v>1272</v>
      </c>
      <c r="B52" s="708" t="s">
        <v>522</v>
      </c>
      <c r="C52" s="709"/>
      <c r="D52" s="709"/>
      <c r="E52" s="709"/>
      <c r="F52" s="708" t="s">
        <v>1</v>
      </c>
      <c r="G52" s="708" t="s">
        <v>2449</v>
      </c>
      <c r="H52" s="709"/>
      <c r="I52" s="710">
        <v>0.18</v>
      </c>
      <c r="J52" s="710">
        <v>0</v>
      </c>
      <c r="K52" s="71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08" t="s">
        <v>1273</v>
      </c>
      <c r="B53" s="708" t="s">
        <v>523</v>
      </c>
      <c r="C53" s="710"/>
      <c r="D53" s="710"/>
      <c r="E53" s="710"/>
      <c r="F53" s="708" t="s">
        <v>1</v>
      </c>
      <c r="G53" s="708" t="s">
        <v>2449</v>
      </c>
      <c r="H53" s="664"/>
      <c r="I53" s="663">
        <v>0.19</v>
      </c>
      <c r="J53" s="663">
        <v>0</v>
      </c>
      <c r="K53" s="663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7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08" t="s">
        <v>1274</v>
      </c>
      <c r="B54" s="708" t="s">
        <v>524</v>
      </c>
      <c r="C54" s="710"/>
      <c r="D54" s="710"/>
      <c r="E54" s="710"/>
      <c r="F54" s="708" t="s">
        <v>1</v>
      </c>
      <c r="G54" s="708" t="s">
        <v>2449</v>
      </c>
      <c r="H54" s="664"/>
      <c r="I54" s="664">
        <v>0.13</v>
      </c>
      <c r="J54" s="664">
        <v>0</v>
      </c>
      <c r="K54" s="664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08" t="s">
        <v>1275</v>
      </c>
      <c r="B55" s="708" t="s">
        <v>525</v>
      </c>
      <c r="C55" s="710"/>
      <c r="D55" s="710"/>
      <c r="E55" s="710"/>
      <c r="F55" s="708" t="s">
        <v>1</v>
      </c>
      <c r="G55" s="708" t="s">
        <v>2449</v>
      </c>
      <c r="H55" s="664"/>
      <c r="I55" s="663">
        <v>0.1</v>
      </c>
      <c r="J55" s="663">
        <v>0</v>
      </c>
      <c r="K55" s="663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08" t="s">
        <v>1276</v>
      </c>
      <c r="B56" s="708" t="s">
        <v>526</v>
      </c>
      <c r="C56" s="710"/>
      <c r="D56" s="710"/>
      <c r="E56" s="710"/>
      <c r="F56" s="708" t="s">
        <v>1</v>
      </c>
      <c r="G56" s="708" t="s">
        <v>2449</v>
      </c>
      <c r="H56" s="664"/>
      <c r="I56" s="663">
        <v>0.06</v>
      </c>
      <c r="J56" s="663">
        <v>0</v>
      </c>
      <c r="K56" s="663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7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08" t="s">
        <v>1277</v>
      </c>
      <c r="B57" s="708" t="s">
        <v>527</v>
      </c>
      <c r="C57" s="710"/>
      <c r="D57" s="710"/>
      <c r="E57" s="710"/>
      <c r="F57" s="708" t="s">
        <v>1</v>
      </c>
      <c r="G57" s="708" t="s">
        <v>2449</v>
      </c>
      <c r="H57" s="664"/>
      <c r="I57" s="663">
        <v>0.09</v>
      </c>
      <c r="J57" s="663">
        <v>0</v>
      </c>
      <c r="K57" s="663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08" t="s">
        <v>1278</v>
      </c>
      <c r="B58" s="708" t="s">
        <v>528</v>
      </c>
      <c r="C58" s="710"/>
      <c r="D58" s="710"/>
      <c r="E58" s="710"/>
      <c r="F58" s="708" t="s">
        <v>1</v>
      </c>
      <c r="G58" s="708" t="s">
        <v>2449</v>
      </c>
      <c r="H58" s="600"/>
      <c r="I58" s="601">
        <v>7.0000000000000007E-2</v>
      </c>
      <c r="J58" s="601">
        <v>0</v>
      </c>
      <c r="K58" s="601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08" t="s">
        <v>1279</v>
      </c>
      <c r="B59" s="708" t="s">
        <v>529</v>
      </c>
      <c r="C59" s="710"/>
      <c r="D59" s="710"/>
      <c r="E59" s="710"/>
      <c r="F59" s="708" t="s">
        <v>1</v>
      </c>
      <c r="G59" s="708" t="s">
        <v>2450</v>
      </c>
      <c r="H59" s="664"/>
      <c r="I59" s="663">
        <v>0.1</v>
      </c>
      <c r="J59" s="663">
        <v>0</v>
      </c>
      <c r="K59" s="663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08" t="s">
        <v>1280</v>
      </c>
      <c r="B60" s="708" t="s">
        <v>530</v>
      </c>
      <c r="C60" s="710"/>
      <c r="D60" s="710"/>
      <c r="E60" s="710"/>
      <c r="F60" s="708" t="s">
        <v>1</v>
      </c>
      <c r="G60" s="708" t="s">
        <v>2450</v>
      </c>
      <c r="H60" s="664"/>
      <c r="I60" s="664">
        <v>0.14000000000000001</v>
      </c>
      <c r="J60" s="664">
        <v>0</v>
      </c>
      <c r="K60" s="664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7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08" t="s">
        <v>1281</v>
      </c>
      <c r="B61" s="708" t="s">
        <v>531</v>
      </c>
      <c r="C61" s="710"/>
      <c r="D61" s="710"/>
      <c r="E61" s="710"/>
      <c r="F61" s="708" t="s">
        <v>1</v>
      </c>
      <c r="G61" s="708" t="s">
        <v>2450</v>
      </c>
      <c r="H61" s="664"/>
      <c r="I61" s="664">
        <v>0.2</v>
      </c>
      <c r="J61" s="664">
        <v>0</v>
      </c>
      <c r="K61" s="664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7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08" t="s">
        <v>1282</v>
      </c>
      <c r="B62" s="708" t="s">
        <v>532</v>
      </c>
      <c r="C62" s="710"/>
      <c r="D62" s="710"/>
      <c r="E62" s="710"/>
      <c r="F62" s="708" t="s">
        <v>1</v>
      </c>
      <c r="G62" s="708" t="s">
        <v>2450</v>
      </c>
      <c r="H62" s="600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08" t="s">
        <v>1283</v>
      </c>
      <c r="B63" s="708" t="s">
        <v>533</v>
      </c>
      <c r="C63" s="710"/>
      <c r="D63" s="710"/>
      <c r="E63" s="710"/>
      <c r="F63" s="708" t="s">
        <v>1</v>
      </c>
      <c r="G63" s="708" t="s">
        <v>2450</v>
      </c>
      <c r="H63" s="664"/>
      <c r="I63" s="663">
        <v>0.3</v>
      </c>
      <c r="J63" s="663">
        <v>0</v>
      </c>
      <c r="K63" s="663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08" t="s">
        <v>1284</v>
      </c>
      <c r="B64" s="708" t="s">
        <v>534</v>
      </c>
      <c r="C64" s="709"/>
      <c r="D64" s="709"/>
      <c r="E64" s="709"/>
      <c r="F64" s="708" t="s">
        <v>1</v>
      </c>
      <c r="G64" s="708" t="s">
        <v>2450</v>
      </c>
      <c r="H64" s="709"/>
      <c r="I64" s="710">
        <v>0.27</v>
      </c>
      <c r="J64" s="710">
        <v>0</v>
      </c>
      <c r="K64" s="71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08" t="s">
        <v>1285</v>
      </c>
      <c r="B65" s="708" t="s">
        <v>535</v>
      </c>
      <c r="C65" s="710"/>
      <c r="D65" s="710"/>
      <c r="E65" s="710"/>
      <c r="F65" s="708" t="s">
        <v>1</v>
      </c>
      <c r="G65" s="708" t="s">
        <v>2450</v>
      </c>
      <c r="H65" s="664"/>
      <c r="I65" s="663">
        <v>0.3</v>
      </c>
      <c r="J65" s="663">
        <v>0</v>
      </c>
      <c r="K65" s="663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9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08" t="s">
        <v>1286</v>
      </c>
      <c r="B66" s="708" t="s">
        <v>536</v>
      </c>
      <c r="C66" s="710"/>
      <c r="D66" s="710"/>
      <c r="E66" s="710"/>
      <c r="F66" s="708" t="s">
        <v>1</v>
      </c>
      <c r="G66" s="708" t="s">
        <v>2450</v>
      </c>
      <c r="H66" s="657"/>
      <c r="I66" s="656">
        <v>0.28999999999999998</v>
      </c>
      <c r="J66" s="656">
        <v>0</v>
      </c>
      <c r="K66" s="656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08" t="s">
        <v>1287</v>
      </c>
      <c r="B67" s="708" t="s">
        <v>537</v>
      </c>
      <c r="C67" s="710"/>
      <c r="D67" s="710"/>
      <c r="E67" s="710"/>
      <c r="F67" s="708" t="s">
        <v>1</v>
      </c>
      <c r="G67" s="708" t="s">
        <v>2450</v>
      </c>
      <c r="H67" s="664"/>
      <c r="I67" s="663">
        <v>0.17</v>
      </c>
      <c r="J67" s="663">
        <v>0</v>
      </c>
      <c r="K67" s="663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7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08" t="s">
        <v>1288</v>
      </c>
      <c r="B68" s="708" t="s">
        <v>538</v>
      </c>
      <c r="C68" s="710"/>
      <c r="D68" s="710"/>
      <c r="E68" s="710"/>
      <c r="F68" s="708" t="s">
        <v>1</v>
      </c>
      <c r="G68" s="708" t="s">
        <v>2450</v>
      </c>
      <c r="H68" s="657"/>
      <c r="I68" s="656">
        <v>0.11</v>
      </c>
      <c r="J68" s="656">
        <v>0</v>
      </c>
      <c r="K68" s="656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08" t="s">
        <v>1289</v>
      </c>
      <c r="B69" s="708" t="s">
        <v>539</v>
      </c>
      <c r="C69" s="710"/>
      <c r="D69" s="710"/>
      <c r="E69" s="710"/>
      <c r="F69" s="708" t="s">
        <v>1</v>
      </c>
      <c r="G69" s="708" t="s">
        <v>2450</v>
      </c>
      <c r="H69" s="664"/>
      <c r="I69" s="663">
        <v>0.24</v>
      </c>
      <c r="J69" s="663">
        <v>0</v>
      </c>
      <c r="K69" s="663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08" t="s">
        <v>2546</v>
      </c>
      <c r="B70" s="708" t="s">
        <v>2547</v>
      </c>
      <c r="C70" s="710"/>
      <c r="D70" s="710"/>
      <c r="E70" s="710"/>
      <c r="F70" s="708" t="s">
        <v>1</v>
      </c>
      <c r="G70" s="708" t="s">
        <v>2450</v>
      </c>
      <c r="H70" s="657"/>
      <c r="I70" s="656">
        <v>0</v>
      </c>
      <c r="J70" s="656">
        <v>0.13</v>
      </c>
      <c r="K70" s="656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08" t="s">
        <v>1290</v>
      </c>
      <c r="B71" s="708" t="s">
        <v>540</v>
      </c>
      <c r="C71" s="710"/>
      <c r="D71" s="710"/>
      <c r="E71" s="710"/>
      <c r="F71" s="708" t="s">
        <v>1</v>
      </c>
      <c r="G71" s="708" t="s">
        <v>573</v>
      </c>
      <c r="H71" s="664"/>
      <c r="I71" s="663">
        <v>1.74</v>
      </c>
      <c r="J71" s="663">
        <v>0.12</v>
      </c>
      <c r="K71" s="663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7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08" t="s">
        <v>1291</v>
      </c>
      <c r="B72" s="708" t="s">
        <v>541</v>
      </c>
      <c r="C72" s="710"/>
      <c r="D72" s="710"/>
      <c r="E72" s="710"/>
      <c r="F72" s="708" t="s">
        <v>1</v>
      </c>
      <c r="G72" s="708" t="s">
        <v>573</v>
      </c>
      <c r="H72" s="664"/>
      <c r="I72" s="663">
        <v>1.81</v>
      </c>
      <c r="J72" s="663">
        <v>0.16</v>
      </c>
      <c r="K72" s="663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08" t="s">
        <v>1292</v>
      </c>
      <c r="B73" s="708" t="s">
        <v>542</v>
      </c>
      <c r="C73" s="710"/>
      <c r="D73" s="710"/>
      <c r="E73" s="710"/>
      <c r="F73" s="708" t="s">
        <v>1</v>
      </c>
      <c r="G73" s="708" t="s">
        <v>542</v>
      </c>
      <c r="H73" s="657"/>
      <c r="I73" s="656">
        <v>0.39</v>
      </c>
      <c r="J73" s="656">
        <v>0.05</v>
      </c>
      <c r="K73" s="656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08" t="s">
        <v>1293</v>
      </c>
      <c r="B74" s="708" t="s">
        <v>543</v>
      </c>
      <c r="C74" s="710"/>
      <c r="D74" s="710"/>
      <c r="E74" s="710"/>
      <c r="F74" s="708" t="s">
        <v>1</v>
      </c>
      <c r="G74" s="708" t="s">
        <v>542</v>
      </c>
      <c r="H74" s="664"/>
      <c r="I74" s="663">
        <v>0.26</v>
      </c>
      <c r="J74" s="663">
        <v>0.04</v>
      </c>
      <c r="K74" s="663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08" t="s">
        <v>1294</v>
      </c>
      <c r="B75" s="708" t="s">
        <v>544</v>
      </c>
      <c r="C75" s="710"/>
      <c r="D75" s="710"/>
      <c r="E75" s="710"/>
      <c r="F75" s="708" t="s">
        <v>1</v>
      </c>
      <c r="G75" s="708" t="s">
        <v>542</v>
      </c>
      <c r="H75" s="657"/>
      <c r="I75" s="656">
        <v>0.17</v>
      </c>
      <c r="J75" s="656">
        <v>0.02</v>
      </c>
      <c r="K75" s="656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08" t="s">
        <v>1295</v>
      </c>
      <c r="B76" s="708" t="s">
        <v>545</v>
      </c>
      <c r="C76" s="710"/>
      <c r="D76" s="710"/>
      <c r="E76" s="710"/>
      <c r="F76" s="708" t="s">
        <v>1</v>
      </c>
      <c r="G76" s="708" t="s">
        <v>542</v>
      </c>
      <c r="H76" s="664"/>
      <c r="I76" s="663">
        <v>0.21</v>
      </c>
      <c r="J76" s="663">
        <v>0.06</v>
      </c>
      <c r="K76" s="663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08" t="s">
        <v>1296</v>
      </c>
      <c r="B77" s="708" t="s">
        <v>546</v>
      </c>
      <c r="C77" s="710"/>
      <c r="D77" s="710"/>
      <c r="E77" s="710"/>
      <c r="F77" s="708" t="s">
        <v>1</v>
      </c>
      <c r="G77" s="708" t="s">
        <v>546</v>
      </c>
      <c r="H77" s="657"/>
      <c r="I77" s="656">
        <v>0.47</v>
      </c>
      <c r="J77" s="656">
        <v>0.05</v>
      </c>
      <c r="K77" s="656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08" t="s">
        <v>1297</v>
      </c>
      <c r="B78" s="708" t="s">
        <v>547</v>
      </c>
      <c r="C78" s="710"/>
      <c r="D78" s="710"/>
      <c r="E78" s="710"/>
      <c r="F78" s="708" t="s">
        <v>1</v>
      </c>
      <c r="G78" s="708" t="s">
        <v>546</v>
      </c>
      <c r="H78" s="664"/>
      <c r="I78" s="663">
        <v>0.32</v>
      </c>
      <c r="J78" s="663">
        <v>0</v>
      </c>
      <c r="K78" s="663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7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08" t="s">
        <v>1298</v>
      </c>
      <c r="B79" s="708" t="s">
        <v>548</v>
      </c>
      <c r="C79" s="710"/>
      <c r="D79" s="710"/>
      <c r="E79" s="710"/>
      <c r="F79" s="708" t="s">
        <v>1</v>
      </c>
      <c r="G79" s="708" t="s">
        <v>546</v>
      </c>
      <c r="H79" s="664"/>
      <c r="I79" s="663">
        <v>0.2</v>
      </c>
      <c r="J79" s="663">
        <v>0.02</v>
      </c>
      <c r="K79" s="663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08" t="s">
        <v>1299</v>
      </c>
      <c r="B80" s="708" t="s">
        <v>549</v>
      </c>
      <c r="C80" s="710"/>
      <c r="D80" s="710"/>
      <c r="E80" s="710"/>
      <c r="F80" s="708" t="s">
        <v>1</v>
      </c>
      <c r="G80" s="708" t="s">
        <v>546</v>
      </c>
      <c r="H80" s="600"/>
      <c r="I80" s="602">
        <v>0.75</v>
      </c>
      <c r="J80" s="602">
        <v>0.05</v>
      </c>
      <c r="K80" s="602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08" t="s">
        <v>1300</v>
      </c>
      <c r="B81" s="708" t="s">
        <v>550</v>
      </c>
      <c r="C81" s="710"/>
      <c r="D81" s="710"/>
      <c r="E81" s="710"/>
      <c r="F81" s="708" t="s">
        <v>1</v>
      </c>
      <c r="G81" s="708" t="s">
        <v>550</v>
      </c>
      <c r="H81" s="664"/>
      <c r="I81" s="663">
        <v>0.56999999999999995</v>
      </c>
      <c r="J81" s="663">
        <v>0.05</v>
      </c>
      <c r="K81" s="663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2" t="s">
        <v>1301</v>
      </c>
      <c r="B82" s="662" t="s">
        <v>551</v>
      </c>
      <c r="C82" s="663"/>
      <c r="D82" s="663"/>
      <c r="E82" s="663"/>
      <c r="F82" s="662" t="s">
        <v>1</v>
      </c>
      <c r="G82" s="662" t="s">
        <v>550</v>
      </c>
      <c r="H82" s="657"/>
      <c r="I82" s="656">
        <v>0.49</v>
      </c>
      <c r="J82" s="656">
        <v>0.04</v>
      </c>
      <c r="K82" s="656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08" t="s">
        <v>1302</v>
      </c>
      <c r="B83" s="708" t="s">
        <v>552</v>
      </c>
      <c r="C83" s="710"/>
      <c r="D83" s="710"/>
      <c r="E83" s="710"/>
      <c r="F83" s="708" t="s">
        <v>1</v>
      </c>
      <c r="G83" s="708" t="s">
        <v>550</v>
      </c>
      <c r="H83" s="664"/>
      <c r="I83" s="663">
        <v>0.32</v>
      </c>
      <c r="J83" s="663">
        <v>0.03</v>
      </c>
      <c r="K83" s="663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08" t="s">
        <v>1303</v>
      </c>
      <c r="B84" s="708" t="s">
        <v>1304</v>
      </c>
      <c r="C84" s="710"/>
      <c r="D84" s="710"/>
      <c r="E84" s="710"/>
      <c r="F84" s="708" t="s">
        <v>1</v>
      </c>
      <c r="G84" s="708" t="s">
        <v>550</v>
      </c>
      <c r="H84" s="664"/>
      <c r="I84" s="663">
        <v>0.43</v>
      </c>
      <c r="J84" s="663">
        <v>0.04</v>
      </c>
      <c r="K84" s="663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7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08" t="s">
        <v>1305</v>
      </c>
      <c r="B85" s="708" t="s">
        <v>553</v>
      </c>
      <c r="C85" s="710"/>
      <c r="D85" s="710"/>
      <c r="E85" s="710"/>
      <c r="F85" s="708" t="s">
        <v>1</v>
      </c>
      <c r="G85" s="708" t="s">
        <v>553</v>
      </c>
      <c r="H85" s="664"/>
      <c r="I85" s="663">
        <v>2094971</v>
      </c>
      <c r="J85" s="663">
        <v>238751</v>
      </c>
      <c r="K85" s="663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7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08" t="s">
        <v>1306</v>
      </c>
      <c r="B86" s="708" t="s">
        <v>554</v>
      </c>
      <c r="C86" s="710"/>
      <c r="D86" s="710"/>
      <c r="E86" s="710"/>
      <c r="F86" s="708" t="s">
        <v>1</v>
      </c>
      <c r="G86" s="708" t="s">
        <v>553</v>
      </c>
      <c r="H86" s="602"/>
      <c r="I86" s="601">
        <v>1519872</v>
      </c>
      <c r="J86" s="601">
        <v>0</v>
      </c>
      <c r="K86" s="601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08" t="s">
        <v>1307</v>
      </c>
      <c r="B87" s="708" t="s">
        <v>555</v>
      </c>
      <c r="C87" s="709"/>
      <c r="D87" s="709"/>
      <c r="E87" s="709"/>
      <c r="F87" s="708" t="s">
        <v>1</v>
      </c>
      <c r="G87" s="708" t="s">
        <v>553</v>
      </c>
      <c r="H87" s="709"/>
      <c r="I87" s="710">
        <v>939174</v>
      </c>
      <c r="J87" s="710">
        <v>78439</v>
      </c>
      <c r="K87" s="71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2" t="s">
        <v>1308</v>
      </c>
      <c r="B88" s="662" t="s">
        <v>556</v>
      </c>
      <c r="C88" s="663"/>
      <c r="D88" s="663"/>
      <c r="E88" s="663"/>
      <c r="F88" s="662" t="s">
        <v>1</v>
      </c>
      <c r="G88" s="662" t="s">
        <v>553</v>
      </c>
      <c r="H88" s="657"/>
      <c r="I88" s="656">
        <v>3598824</v>
      </c>
      <c r="J88" s="656">
        <v>247891</v>
      </c>
      <c r="K88" s="656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7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08" t="s">
        <v>1309</v>
      </c>
      <c r="B89" s="708" t="s">
        <v>557</v>
      </c>
      <c r="C89" s="710"/>
      <c r="D89" s="710"/>
      <c r="E89" s="710"/>
      <c r="F89" s="708" t="s">
        <v>1</v>
      </c>
      <c r="G89" s="708" t="s">
        <v>2451</v>
      </c>
      <c r="H89" s="664"/>
      <c r="I89" s="663">
        <v>147530</v>
      </c>
      <c r="J89" s="663">
        <v>0</v>
      </c>
      <c r="K89" s="663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08" t="s">
        <v>1310</v>
      </c>
      <c r="B90" s="708" t="s">
        <v>558</v>
      </c>
      <c r="C90" s="710"/>
      <c r="D90" s="710"/>
      <c r="E90" s="710"/>
      <c r="F90" s="708" t="s">
        <v>1</v>
      </c>
      <c r="G90" s="708" t="s">
        <v>2451</v>
      </c>
      <c r="H90" s="657"/>
      <c r="I90" s="656">
        <v>7112</v>
      </c>
      <c r="J90" s="656">
        <v>0</v>
      </c>
      <c r="K90" s="656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08" t="s">
        <v>1311</v>
      </c>
      <c r="B91" s="708" t="s">
        <v>559</v>
      </c>
      <c r="C91" s="709"/>
      <c r="D91" s="709"/>
      <c r="E91" s="709"/>
      <c r="F91" s="708" t="s">
        <v>1</v>
      </c>
      <c r="G91" s="708" t="s">
        <v>2451</v>
      </c>
      <c r="H91" s="709"/>
      <c r="I91" s="710">
        <v>11124</v>
      </c>
      <c r="J91" s="710">
        <v>0</v>
      </c>
      <c r="K91" s="71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08" t="s">
        <v>1312</v>
      </c>
      <c r="B92" s="708" t="s">
        <v>560</v>
      </c>
      <c r="C92" s="710"/>
      <c r="D92" s="710"/>
      <c r="E92" s="710"/>
      <c r="F92" s="708" t="s">
        <v>1</v>
      </c>
      <c r="G92" s="708" t="s">
        <v>2451</v>
      </c>
      <c r="H92" s="709"/>
      <c r="I92" s="709">
        <v>35808</v>
      </c>
      <c r="J92" s="709">
        <v>0</v>
      </c>
      <c r="K92" s="70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08" t="s">
        <v>1313</v>
      </c>
      <c r="B93" s="708" t="s">
        <v>561</v>
      </c>
      <c r="C93" s="710"/>
      <c r="D93" s="710"/>
      <c r="E93" s="710"/>
      <c r="F93" s="708" t="s">
        <v>1</v>
      </c>
      <c r="G93" s="708" t="s">
        <v>2483</v>
      </c>
      <c r="H93" s="657"/>
      <c r="I93" s="656">
        <v>5512</v>
      </c>
      <c r="J93" s="656">
        <v>38</v>
      </c>
      <c r="K93" s="656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7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08" t="s">
        <v>1316</v>
      </c>
      <c r="B94" s="708" t="s">
        <v>564</v>
      </c>
      <c r="C94" s="710"/>
      <c r="D94" s="710"/>
      <c r="E94" s="710"/>
      <c r="F94" s="708" t="s">
        <v>1</v>
      </c>
      <c r="G94" s="708" t="s">
        <v>2452</v>
      </c>
      <c r="H94" s="602"/>
      <c r="I94" s="601">
        <v>179158</v>
      </c>
      <c r="J94" s="601">
        <v>32114</v>
      </c>
      <c r="K94" s="601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08" t="s">
        <v>1317</v>
      </c>
      <c r="B95" s="708" t="s">
        <v>565</v>
      </c>
      <c r="C95" s="709"/>
      <c r="D95" s="709"/>
      <c r="E95" s="709"/>
      <c r="F95" s="708" t="s">
        <v>1</v>
      </c>
      <c r="G95" s="708" t="s">
        <v>2452</v>
      </c>
      <c r="H95" s="709"/>
      <c r="I95" s="710">
        <v>48514</v>
      </c>
      <c r="J95" s="710">
        <v>1110</v>
      </c>
      <c r="K95" s="71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08" t="s">
        <v>1318</v>
      </c>
      <c r="B96" s="708" t="s">
        <v>566</v>
      </c>
      <c r="C96" s="710"/>
      <c r="D96" s="710"/>
      <c r="E96" s="710"/>
      <c r="F96" s="708" t="s">
        <v>1</v>
      </c>
      <c r="G96" s="708" t="s">
        <v>2452</v>
      </c>
      <c r="H96" s="664"/>
      <c r="I96" s="663">
        <v>28276</v>
      </c>
      <c r="J96" s="663">
        <v>297</v>
      </c>
      <c r="K96" s="663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08" t="s">
        <v>1319</v>
      </c>
      <c r="B97" s="708" t="s">
        <v>567</v>
      </c>
      <c r="C97" s="710"/>
      <c r="D97" s="710"/>
      <c r="E97" s="710"/>
      <c r="F97" s="708" t="s">
        <v>1</v>
      </c>
      <c r="G97" s="708" t="s">
        <v>2452</v>
      </c>
      <c r="H97" s="600"/>
      <c r="I97" s="601">
        <v>64410</v>
      </c>
      <c r="J97" s="601">
        <v>50.42</v>
      </c>
      <c r="K97" s="601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08" t="s">
        <v>1320</v>
      </c>
      <c r="B98" s="708" t="s">
        <v>568</v>
      </c>
      <c r="C98" s="710"/>
      <c r="D98" s="710"/>
      <c r="E98" s="710"/>
      <c r="F98" s="708" t="s">
        <v>1</v>
      </c>
      <c r="G98" s="708" t="s">
        <v>568</v>
      </c>
      <c r="H98" s="664"/>
      <c r="I98" s="663">
        <v>1194141</v>
      </c>
      <c r="J98" s="663">
        <v>0</v>
      </c>
      <c r="K98" s="663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08" t="s">
        <v>1321</v>
      </c>
      <c r="B99" s="708" t="s">
        <v>569</v>
      </c>
      <c r="C99" s="710"/>
      <c r="D99" s="710"/>
      <c r="E99" s="710"/>
      <c r="F99" s="708" t="s">
        <v>1</v>
      </c>
      <c r="G99" s="708" t="s">
        <v>569</v>
      </c>
      <c r="H99" s="657"/>
      <c r="I99" s="656">
        <v>1618104</v>
      </c>
      <c r="J99" s="656">
        <v>182422</v>
      </c>
      <c r="K99" s="656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08" t="s">
        <v>1322</v>
      </c>
      <c r="B100" s="708" t="s">
        <v>570</v>
      </c>
      <c r="C100" s="710"/>
      <c r="D100" s="710"/>
      <c r="E100" s="710"/>
      <c r="F100" s="708" t="s">
        <v>1</v>
      </c>
      <c r="G100" s="708" t="s">
        <v>569</v>
      </c>
      <c r="H100" s="600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08" t="s">
        <v>1323</v>
      </c>
      <c r="B101" s="708" t="s">
        <v>571</v>
      </c>
      <c r="C101" s="710"/>
      <c r="D101" s="710"/>
      <c r="E101" s="710"/>
      <c r="F101" s="708" t="s">
        <v>1</v>
      </c>
      <c r="G101" s="708" t="s">
        <v>569</v>
      </c>
      <c r="H101" s="664"/>
      <c r="I101" s="664">
        <v>772292</v>
      </c>
      <c r="J101" s="664">
        <v>61823</v>
      </c>
      <c r="K101" s="664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08" t="s">
        <v>1324</v>
      </c>
      <c r="B102" s="708" t="s">
        <v>572</v>
      </c>
      <c r="C102" s="709"/>
      <c r="D102" s="709"/>
      <c r="E102" s="709"/>
      <c r="F102" s="708" t="s">
        <v>1</v>
      </c>
      <c r="G102" s="708" t="s">
        <v>569</v>
      </c>
      <c r="H102" s="709"/>
      <c r="I102" s="710">
        <v>865185</v>
      </c>
      <c r="J102" s="710">
        <v>340933</v>
      </c>
      <c r="K102" s="71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7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08" t="s">
        <v>1325</v>
      </c>
      <c r="B103" s="708" t="s">
        <v>573</v>
      </c>
      <c r="C103" s="710"/>
      <c r="D103" s="710"/>
      <c r="E103" s="710"/>
      <c r="F103" s="708" t="s">
        <v>1</v>
      </c>
      <c r="G103" s="708" t="s">
        <v>573</v>
      </c>
      <c r="H103" s="657"/>
      <c r="I103" s="656">
        <v>1.03</v>
      </c>
      <c r="J103" s="656">
        <v>0.17</v>
      </c>
      <c r="K103" s="656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08" t="s">
        <v>1326</v>
      </c>
      <c r="B104" s="708" t="s">
        <v>574</v>
      </c>
      <c r="C104" s="710"/>
      <c r="D104" s="710"/>
      <c r="E104" s="710"/>
      <c r="F104" s="708" t="s">
        <v>1</v>
      </c>
      <c r="G104" s="708" t="s">
        <v>574</v>
      </c>
      <c r="H104" s="664"/>
      <c r="I104" s="663">
        <v>1981076</v>
      </c>
      <c r="J104" s="663">
        <v>198196</v>
      </c>
      <c r="K104" s="663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08" t="s">
        <v>1327</v>
      </c>
      <c r="B105" s="708" t="s">
        <v>575</v>
      </c>
      <c r="C105" s="710"/>
      <c r="D105" s="710"/>
      <c r="E105" s="710"/>
      <c r="F105" s="708" t="s">
        <v>1</v>
      </c>
      <c r="G105" s="708" t="s">
        <v>574</v>
      </c>
      <c r="H105" s="664"/>
      <c r="I105" s="664">
        <v>1726865</v>
      </c>
      <c r="J105" s="664">
        <v>143565</v>
      </c>
      <c r="K105" s="664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08" t="s">
        <v>1328</v>
      </c>
      <c r="B106" s="708" t="s">
        <v>576</v>
      </c>
      <c r="C106" s="710"/>
      <c r="D106" s="710"/>
      <c r="E106" s="710"/>
      <c r="F106" s="708" t="s">
        <v>1</v>
      </c>
      <c r="G106" s="708" t="s">
        <v>574</v>
      </c>
      <c r="H106" s="664"/>
      <c r="I106" s="663">
        <v>1156286</v>
      </c>
      <c r="J106" s="663">
        <v>101078</v>
      </c>
      <c r="K106" s="663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7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08" t="s">
        <v>1329</v>
      </c>
      <c r="B107" s="708" t="s">
        <v>1330</v>
      </c>
      <c r="C107" s="710"/>
      <c r="D107" s="710"/>
      <c r="E107" s="710"/>
      <c r="F107" s="708" t="s">
        <v>1</v>
      </c>
      <c r="G107" s="708" t="s">
        <v>574</v>
      </c>
      <c r="H107" s="664"/>
      <c r="I107" s="663">
        <v>1365842</v>
      </c>
      <c r="J107" s="663">
        <v>125753</v>
      </c>
      <c r="K107" s="663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08" t="s">
        <v>1331</v>
      </c>
      <c r="B108" s="708" t="s">
        <v>577</v>
      </c>
      <c r="C108" s="710"/>
      <c r="D108" s="710"/>
      <c r="E108" s="710"/>
      <c r="F108" s="708" t="s">
        <v>1</v>
      </c>
      <c r="G108" s="708" t="s">
        <v>577</v>
      </c>
      <c r="H108" s="664"/>
      <c r="I108" s="664">
        <v>1</v>
      </c>
      <c r="J108" s="664">
        <v>0</v>
      </c>
      <c r="K108" s="664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08" t="s">
        <v>1332</v>
      </c>
      <c r="B109" s="708" t="s">
        <v>578</v>
      </c>
      <c r="C109" s="710"/>
      <c r="D109" s="710"/>
      <c r="E109" s="710"/>
      <c r="F109" s="708" t="s">
        <v>1</v>
      </c>
      <c r="G109" s="708" t="s">
        <v>2453</v>
      </c>
      <c r="H109" s="664"/>
      <c r="I109" s="663">
        <v>1</v>
      </c>
      <c r="J109" s="663">
        <v>0</v>
      </c>
      <c r="K109" s="663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7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08" t="s">
        <v>1334</v>
      </c>
      <c r="B110" s="708" t="s">
        <v>580</v>
      </c>
      <c r="C110" s="710"/>
      <c r="D110" s="710"/>
      <c r="E110" s="710"/>
      <c r="F110" s="708" t="s">
        <v>1</v>
      </c>
      <c r="G110" s="708" t="s">
        <v>2453</v>
      </c>
      <c r="H110" s="664"/>
      <c r="I110" s="663">
        <v>1</v>
      </c>
      <c r="J110" s="663">
        <v>0</v>
      </c>
      <c r="K110" s="663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08" t="s">
        <v>1335</v>
      </c>
      <c r="B111" s="708" t="s">
        <v>581</v>
      </c>
      <c r="C111" s="710"/>
      <c r="D111" s="710"/>
      <c r="E111" s="710"/>
      <c r="F111" s="708" t="s">
        <v>1</v>
      </c>
      <c r="G111" s="708" t="s">
        <v>2453</v>
      </c>
      <c r="H111" s="602"/>
      <c r="I111" s="601">
        <v>1</v>
      </c>
      <c r="J111" s="601">
        <v>0</v>
      </c>
      <c r="K111" s="601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08" t="s">
        <v>1336</v>
      </c>
      <c r="B112" s="708" t="s">
        <v>582</v>
      </c>
      <c r="C112" s="709"/>
      <c r="D112" s="709"/>
      <c r="E112" s="709"/>
      <c r="F112" s="708" t="s">
        <v>1</v>
      </c>
      <c r="G112" s="708" t="s">
        <v>2453</v>
      </c>
      <c r="H112" s="709"/>
      <c r="I112" s="710">
        <v>0.5</v>
      </c>
      <c r="J112" s="710">
        <v>0</v>
      </c>
      <c r="K112" s="71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08" t="s">
        <v>1337</v>
      </c>
      <c r="B113" s="708" t="s">
        <v>583</v>
      </c>
      <c r="C113" s="710"/>
      <c r="D113" s="710"/>
      <c r="E113" s="710"/>
      <c r="F113" s="708" t="s">
        <v>1</v>
      </c>
      <c r="G113" s="708" t="s">
        <v>583</v>
      </c>
      <c r="H113" s="709"/>
      <c r="I113" s="709">
        <v>1</v>
      </c>
      <c r="J113" s="709">
        <v>0</v>
      </c>
      <c r="K113" s="70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7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08" t="s">
        <v>1338</v>
      </c>
      <c r="B114" s="708" t="s">
        <v>584</v>
      </c>
      <c r="C114" s="709"/>
      <c r="D114" s="709"/>
      <c r="E114" s="709"/>
      <c r="F114" s="708" t="s">
        <v>1</v>
      </c>
      <c r="G114" s="708" t="s">
        <v>583</v>
      </c>
      <c r="H114" s="709"/>
      <c r="I114" s="710">
        <v>2</v>
      </c>
      <c r="J114" s="710">
        <v>0</v>
      </c>
      <c r="K114" s="710">
        <v>2</v>
      </c>
      <c r="L114" s="149" t="str">
        <f t="shared" si="0"/>
        <v>164A</v>
      </c>
      <c r="M114" s="501" t="str">
        <f t="shared" si="1"/>
        <v>NB EMP. VENDEURS BMW - NEUF</v>
      </c>
      <c r="N114" s="151">
        <f>+IF(OR($Q114=Parametres!$G$2,$Q114=Parametres!$G$3),I114,C114)</f>
        <v>2</v>
      </c>
      <c r="O114" s="502">
        <f>+IF(OR($Q114=Parametres!$G$2,$Q114=Parametres!$G$3),J114,D114)</f>
        <v>0</v>
      </c>
      <c r="P114" s="503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08" t="s">
        <v>1339</v>
      </c>
      <c r="B115" s="708" t="s">
        <v>585</v>
      </c>
      <c r="C115" s="710"/>
      <c r="D115" s="710"/>
      <c r="E115" s="710"/>
      <c r="F115" s="708" t="s">
        <v>1</v>
      </c>
      <c r="G115" s="708" t="s">
        <v>583</v>
      </c>
      <c r="H115" s="664"/>
      <c r="I115" s="664">
        <v>2</v>
      </c>
      <c r="J115" s="664">
        <v>0</v>
      </c>
      <c r="K115" s="664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08" t="s">
        <v>1340</v>
      </c>
      <c r="B116" s="708" t="s">
        <v>586</v>
      </c>
      <c r="C116" s="710"/>
      <c r="D116" s="710"/>
      <c r="E116" s="710"/>
      <c r="F116" s="708" t="s">
        <v>1</v>
      </c>
      <c r="G116" s="708" t="s">
        <v>586</v>
      </c>
      <c r="H116" s="657"/>
      <c r="I116" s="656">
        <v>1</v>
      </c>
      <c r="J116" s="656">
        <v>0</v>
      </c>
      <c r="K116" s="656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08" t="s">
        <v>2002</v>
      </c>
      <c r="B117" s="708" t="s">
        <v>2003</v>
      </c>
      <c r="C117" s="709"/>
      <c r="D117" s="709"/>
      <c r="E117" s="709"/>
      <c r="F117" s="708" t="s">
        <v>1</v>
      </c>
      <c r="G117" s="708" t="s">
        <v>2001</v>
      </c>
      <c r="H117" s="709"/>
      <c r="I117" s="710">
        <v>1</v>
      </c>
      <c r="J117" s="710">
        <v>0</v>
      </c>
      <c r="K117" s="710">
        <v>1</v>
      </c>
      <c r="L117" s="149" t="str">
        <f t="shared" si="0"/>
        <v>166B</v>
      </c>
      <c r="M117" s="501" t="str">
        <f t="shared" si="1"/>
        <v>NB EMP. AUTRES - USAGE</v>
      </c>
      <c r="N117" s="151">
        <f>+IF(OR($Q117=Parametres!$G$2,$Q117=Parametres!$G$3),I117,C117)</f>
        <v>1</v>
      </c>
      <c r="O117" s="502">
        <f>+IF(OR($Q117=Parametres!$G$2,$Q117=Parametres!$G$3),J117,D117)</f>
        <v>0</v>
      </c>
      <c r="P117" s="503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08" t="s">
        <v>1341</v>
      </c>
      <c r="B118" s="708" t="s">
        <v>587</v>
      </c>
      <c r="C118" s="710"/>
      <c r="D118" s="710"/>
      <c r="E118" s="710"/>
      <c r="F118" s="708" t="s">
        <v>1</v>
      </c>
      <c r="G118" s="708" t="s">
        <v>2001</v>
      </c>
      <c r="H118" s="664"/>
      <c r="I118" s="663">
        <v>1.5</v>
      </c>
      <c r="J118" s="663">
        <v>0</v>
      </c>
      <c r="K118" s="663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7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08" t="s">
        <v>1342</v>
      </c>
      <c r="B119" s="708" t="s">
        <v>588</v>
      </c>
      <c r="C119" s="709"/>
      <c r="D119" s="709"/>
      <c r="E119" s="709"/>
      <c r="F119" s="708" t="s">
        <v>1</v>
      </c>
      <c r="G119" s="708" t="s">
        <v>2001</v>
      </c>
      <c r="H119" s="709"/>
      <c r="I119" s="710">
        <v>2</v>
      </c>
      <c r="J119" s="710">
        <v>0</v>
      </c>
      <c r="K119" s="71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7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08" t="s">
        <v>1343</v>
      </c>
      <c r="B120" s="708" t="s">
        <v>589</v>
      </c>
      <c r="C120" s="710"/>
      <c r="D120" s="710"/>
      <c r="E120" s="710"/>
      <c r="F120" s="708" t="s">
        <v>1</v>
      </c>
      <c r="G120" s="708" t="s">
        <v>2459</v>
      </c>
      <c r="H120" s="664"/>
      <c r="I120" s="663">
        <v>8</v>
      </c>
      <c r="J120" s="663">
        <v>0</v>
      </c>
      <c r="K120" s="663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08" t="s">
        <v>1344</v>
      </c>
      <c r="B121" s="708" t="s">
        <v>1345</v>
      </c>
      <c r="C121" s="710"/>
      <c r="D121" s="710"/>
      <c r="E121" s="710"/>
      <c r="F121" s="708" t="s">
        <v>1</v>
      </c>
      <c r="G121" s="708" t="s">
        <v>1345</v>
      </c>
      <c r="H121" s="657"/>
      <c r="I121" s="656">
        <v>0.1</v>
      </c>
      <c r="J121" s="656">
        <v>0</v>
      </c>
      <c r="K121" s="656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08" t="s">
        <v>1346</v>
      </c>
      <c r="B122" s="708" t="s">
        <v>1347</v>
      </c>
      <c r="C122" s="710"/>
      <c r="D122" s="710"/>
      <c r="E122" s="710"/>
      <c r="F122" s="708" t="s">
        <v>1</v>
      </c>
      <c r="G122" s="708" t="s">
        <v>1347</v>
      </c>
      <c r="H122" s="664"/>
      <c r="I122" s="663">
        <v>0.04</v>
      </c>
      <c r="J122" s="663">
        <v>0</v>
      </c>
      <c r="K122" s="663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08" t="s">
        <v>1348</v>
      </c>
      <c r="B123" s="708" t="s">
        <v>590</v>
      </c>
      <c r="C123" s="710"/>
      <c r="D123" s="710"/>
      <c r="E123" s="710"/>
      <c r="F123" s="708" t="s">
        <v>1</v>
      </c>
      <c r="G123" s="708" t="s">
        <v>2454</v>
      </c>
      <c r="H123" s="600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08" t="s">
        <v>1349</v>
      </c>
      <c r="B124" s="708" t="s">
        <v>591</v>
      </c>
      <c r="C124" s="710"/>
      <c r="D124" s="710"/>
      <c r="E124" s="710"/>
      <c r="F124" s="708" t="s">
        <v>1</v>
      </c>
      <c r="G124" s="708" t="s">
        <v>2455</v>
      </c>
      <c r="H124" s="602"/>
      <c r="I124" s="601">
        <v>159.94999999999999</v>
      </c>
      <c r="J124" s="601">
        <v>0</v>
      </c>
      <c r="K124" s="601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08" t="s">
        <v>1350</v>
      </c>
      <c r="B125" s="708" t="s">
        <v>592</v>
      </c>
      <c r="C125" s="710"/>
      <c r="D125" s="710"/>
      <c r="E125" s="710"/>
      <c r="F125" s="708" t="s">
        <v>1</v>
      </c>
      <c r="G125" s="708" t="s">
        <v>2456</v>
      </c>
      <c r="H125" s="600"/>
      <c r="I125" s="601">
        <v>131.16</v>
      </c>
      <c r="J125" s="601">
        <v>0</v>
      </c>
      <c r="K125" s="601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7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08" t="s">
        <v>1351</v>
      </c>
      <c r="B126" s="708" t="s">
        <v>593</v>
      </c>
      <c r="C126" s="710"/>
      <c r="D126" s="710"/>
      <c r="E126" s="710"/>
      <c r="F126" s="708" t="s">
        <v>1</v>
      </c>
      <c r="G126" s="708" t="s">
        <v>2457</v>
      </c>
      <c r="H126" s="664"/>
      <c r="I126" s="664">
        <v>159.94999999999999</v>
      </c>
      <c r="J126" s="664">
        <v>0</v>
      </c>
      <c r="K126" s="664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7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08" t="s">
        <v>1352</v>
      </c>
      <c r="B127" s="708" t="s">
        <v>1353</v>
      </c>
      <c r="C127" s="710"/>
      <c r="D127" s="710"/>
      <c r="E127" s="710"/>
      <c r="F127" s="708" t="s">
        <v>1</v>
      </c>
      <c r="G127" s="708" t="s">
        <v>2457</v>
      </c>
      <c r="H127" s="664"/>
      <c r="I127" s="663">
        <v>88</v>
      </c>
      <c r="J127" s="663">
        <v>0</v>
      </c>
      <c r="K127" s="663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08" t="s">
        <v>1354</v>
      </c>
      <c r="B128" s="708" t="s">
        <v>594</v>
      </c>
      <c r="C128" s="709"/>
      <c r="D128" s="709"/>
      <c r="E128" s="709"/>
      <c r="F128" s="708" t="s">
        <v>1</v>
      </c>
      <c r="G128" s="708" t="s">
        <v>2458</v>
      </c>
      <c r="H128" s="709"/>
      <c r="I128" s="710">
        <v>152.13</v>
      </c>
      <c r="J128" s="710">
        <v>-15.77</v>
      </c>
      <c r="K128" s="710">
        <v>136.36000000000001</v>
      </c>
      <c r="L128" s="149" t="str">
        <f t="shared" si="0"/>
        <v>178D</v>
      </c>
      <c r="M128" s="501" t="str">
        <f t="shared" si="1"/>
        <v>PRODUCTIVITE TECHNICIEN</v>
      </c>
      <c r="N128" s="151">
        <f>+IF(OR($Q128=Parametres!$G$2,$Q128=Parametres!$G$3),I128,C128)</f>
        <v>152.13</v>
      </c>
      <c r="O128" s="502">
        <f>+IF(OR($Q128=Parametres!$G$2,$Q128=Parametres!$G$3),J128,D128)</f>
        <v>-15.77</v>
      </c>
      <c r="P128" s="503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08" t="s">
        <v>1355</v>
      </c>
      <c r="B129" s="708" t="s">
        <v>595</v>
      </c>
      <c r="C129" s="710"/>
      <c r="D129" s="710"/>
      <c r="E129" s="710"/>
      <c r="F129" s="708" t="s">
        <v>1</v>
      </c>
      <c r="G129" s="708" t="s">
        <v>595</v>
      </c>
      <c r="H129" s="664"/>
      <c r="I129" s="663">
        <v>2.09</v>
      </c>
      <c r="J129" s="663">
        <v>0.19</v>
      </c>
      <c r="K129" s="663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08" t="s">
        <v>358</v>
      </c>
      <c r="B130" s="708" t="s">
        <v>371</v>
      </c>
      <c r="C130" s="710">
        <v>700</v>
      </c>
      <c r="D130" s="710">
        <v>0</v>
      </c>
      <c r="E130" s="710">
        <v>700</v>
      </c>
      <c r="F130" s="708" t="s">
        <v>2225</v>
      </c>
      <c r="G130" s="708" t="s">
        <v>371</v>
      </c>
      <c r="H130" s="664"/>
      <c r="I130" s="663"/>
      <c r="J130" s="663"/>
      <c r="K130" s="663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08" t="s">
        <v>1069</v>
      </c>
      <c r="B131" s="708" t="s">
        <v>359</v>
      </c>
      <c r="C131" s="710">
        <v>25648.25</v>
      </c>
      <c r="D131" s="710">
        <v>129996.87</v>
      </c>
      <c r="E131" s="710">
        <v>155645.12</v>
      </c>
      <c r="F131" s="708" t="s">
        <v>2225</v>
      </c>
      <c r="G131" s="708" t="s">
        <v>359</v>
      </c>
      <c r="H131" s="664"/>
      <c r="I131" s="663"/>
      <c r="J131" s="663"/>
      <c r="K131" s="663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08" t="s">
        <v>2336</v>
      </c>
      <c r="B132" s="708" t="s">
        <v>2337</v>
      </c>
      <c r="C132" s="710">
        <v>2750000</v>
      </c>
      <c r="D132" s="710">
        <v>0</v>
      </c>
      <c r="E132" s="710">
        <v>2750000</v>
      </c>
      <c r="F132" s="708" t="s">
        <v>2225</v>
      </c>
      <c r="G132" s="708" t="s">
        <v>359</v>
      </c>
      <c r="H132" s="664"/>
      <c r="I132" s="663"/>
      <c r="J132" s="663"/>
      <c r="K132" s="663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08" t="s">
        <v>399</v>
      </c>
      <c r="B133" s="708" t="s">
        <v>370</v>
      </c>
      <c r="C133" s="710">
        <v>311612.44</v>
      </c>
      <c r="D133" s="710">
        <v>-207282.88</v>
      </c>
      <c r="E133" s="710">
        <v>104329.56</v>
      </c>
      <c r="F133" s="708" t="s">
        <v>2225</v>
      </c>
      <c r="G133" s="708" t="s">
        <v>370</v>
      </c>
      <c r="H133" s="664"/>
      <c r="I133" s="663"/>
      <c r="J133" s="663"/>
      <c r="K133" s="663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08" t="s">
        <v>1093</v>
      </c>
      <c r="B134" s="708" t="s">
        <v>375</v>
      </c>
      <c r="C134" s="710">
        <v>60598.53</v>
      </c>
      <c r="D134" s="710">
        <v>38101.019999999997</v>
      </c>
      <c r="E134" s="710">
        <v>98699.55</v>
      </c>
      <c r="F134" s="708" t="s">
        <v>2225</v>
      </c>
      <c r="G134" s="708" t="s">
        <v>375</v>
      </c>
      <c r="H134" s="664"/>
      <c r="I134" s="663"/>
      <c r="J134" s="663"/>
      <c r="K134" s="663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08" t="s">
        <v>1073</v>
      </c>
      <c r="B135" s="708" t="s">
        <v>397</v>
      </c>
      <c r="C135" s="710">
        <v>389343.06</v>
      </c>
      <c r="D135" s="710">
        <v>-312972.03999999998</v>
      </c>
      <c r="E135" s="710">
        <v>76371.02</v>
      </c>
      <c r="F135" s="708" t="s">
        <v>2225</v>
      </c>
      <c r="G135" s="708" t="s">
        <v>375</v>
      </c>
      <c r="H135" s="664"/>
      <c r="I135" s="663"/>
      <c r="J135" s="663"/>
      <c r="K135" s="663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08" t="s">
        <v>2338</v>
      </c>
      <c r="B136" s="708" t="s">
        <v>2339</v>
      </c>
      <c r="C136" s="709">
        <v>137799.5</v>
      </c>
      <c r="D136" s="709">
        <v>-137799.5</v>
      </c>
      <c r="E136" s="709">
        <v>0</v>
      </c>
      <c r="F136" s="708" t="s">
        <v>2225</v>
      </c>
      <c r="G136" s="708" t="s">
        <v>375</v>
      </c>
      <c r="H136" s="709"/>
      <c r="I136" s="710"/>
      <c r="J136" s="710"/>
      <c r="K136" s="71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08" t="s">
        <v>444</v>
      </c>
      <c r="B137" s="708" t="s">
        <v>372</v>
      </c>
      <c r="C137" s="710">
        <v>128724.04</v>
      </c>
      <c r="D137" s="710">
        <v>-497.78</v>
      </c>
      <c r="E137" s="710">
        <v>128226.26</v>
      </c>
      <c r="F137" s="708" t="s">
        <v>2225</v>
      </c>
      <c r="G137" s="708" t="s">
        <v>372</v>
      </c>
      <c r="H137" s="664"/>
      <c r="I137" s="663"/>
      <c r="J137" s="663"/>
      <c r="K137" s="663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08" t="s">
        <v>2331</v>
      </c>
      <c r="B138" s="708" t="s">
        <v>2332</v>
      </c>
      <c r="C138" s="710">
        <v>-681.89</v>
      </c>
      <c r="D138" s="710">
        <v>2014.45</v>
      </c>
      <c r="E138" s="710">
        <v>1332.56</v>
      </c>
      <c r="F138" s="708" t="s">
        <v>2225</v>
      </c>
      <c r="G138" s="708" t="s">
        <v>372</v>
      </c>
      <c r="H138" s="664"/>
      <c r="I138" s="663"/>
      <c r="J138" s="663"/>
      <c r="K138" s="663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08" t="s">
        <v>2301</v>
      </c>
      <c r="B139" s="708" t="s">
        <v>2302</v>
      </c>
      <c r="C139" s="710">
        <v>9919</v>
      </c>
      <c r="D139" s="710">
        <v>0</v>
      </c>
      <c r="E139" s="710">
        <v>9919</v>
      </c>
      <c r="F139" s="708" t="s">
        <v>2225</v>
      </c>
      <c r="G139" s="708" t="s">
        <v>372</v>
      </c>
      <c r="H139" s="664"/>
      <c r="I139" s="664"/>
      <c r="J139" s="664"/>
      <c r="K139" s="664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08" t="s">
        <v>2196</v>
      </c>
      <c r="B140" s="708" t="s">
        <v>2197</v>
      </c>
      <c r="C140" s="710">
        <v>479.47</v>
      </c>
      <c r="D140" s="710">
        <v>4528.41</v>
      </c>
      <c r="E140" s="710">
        <v>5007.88</v>
      </c>
      <c r="F140" s="708" t="s">
        <v>2225</v>
      </c>
      <c r="G140" s="708" t="s">
        <v>372</v>
      </c>
      <c r="H140" s="664"/>
      <c r="I140" s="663"/>
      <c r="J140" s="663"/>
      <c r="K140" s="663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08" t="s">
        <v>1114</v>
      </c>
      <c r="B141" s="708" t="s">
        <v>385</v>
      </c>
      <c r="C141" s="709">
        <v>64465.15</v>
      </c>
      <c r="D141" s="709">
        <v>-20932.150000000001</v>
      </c>
      <c r="E141" s="709">
        <v>43533</v>
      </c>
      <c r="F141" s="708" t="s">
        <v>2225</v>
      </c>
      <c r="G141" s="708" t="s">
        <v>385</v>
      </c>
      <c r="H141" s="709"/>
      <c r="I141" s="710"/>
      <c r="J141" s="710"/>
      <c r="K141" s="71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08" t="s">
        <v>1833</v>
      </c>
      <c r="B142" s="708" t="s">
        <v>451</v>
      </c>
      <c r="C142" s="709">
        <v>-1358.48</v>
      </c>
      <c r="D142" s="709">
        <v>26228.7</v>
      </c>
      <c r="E142" s="709">
        <v>24870.22</v>
      </c>
      <c r="F142" s="708" t="s">
        <v>2225</v>
      </c>
      <c r="G142" s="708" t="s">
        <v>451</v>
      </c>
      <c r="H142" s="709"/>
      <c r="I142" s="710"/>
      <c r="J142" s="710"/>
      <c r="K142" s="71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08" t="s">
        <v>1193</v>
      </c>
      <c r="B143" s="708" t="s">
        <v>1010</v>
      </c>
      <c r="C143" s="710">
        <v>78000</v>
      </c>
      <c r="D143" s="710">
        <v>-18500</v>
      </c>
      <c r="E143" s="710">
        <v>59500</v>
      </c>
      <c r="F143" s="708" t="s">
        <v>2225</v>
      </c>
      <c r="G143" s="708" t="s">
        <v>451</v>
      </c>
      <c r="H143" s="657"/>
      <c r="I143" s="656"/>
      <c r="J143" s="656"/>
      <c r="K143" s="656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08" t="s">
        <v>1788</v>
      </c>
      <c r="B144" s="708" t="s">
        <v>965</v>
      </c>
      <c r="C144" s="710">
        <v>35168.949999999997</v>
      </c>
      <c r="D144" s="710">
        <v>-28112.78</v>
      </c>
      <c r="E144" s="710">
        <v>7056.17</v>
      </c>
      <c r="F144" s="708" t="s">
        <v>2225</v>
      </c>
      <c r="G144" s="708" t="s">
        <v>2246</v>
      </c>
      <c r="H144" s="664"/>
      <c r="I144" s="663"/>
      <c r="J144" s="663"/>
      <c r="K144" s="663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08" t="s">
        <v>1817</v>
      </c>
      <c r="B145" s="708" t="s">
        <v>392</v>
      </c>
      <c r="C145" s="710">
        <v>-2307.25</v>
      </c>
      <c r="D145" s="710">
        <v>-18246.78</v>
      </c>
      <c r="E145" s="710">
        <v>-20554.03</v>
      </c>
      <c r="F145" s="708" t="s">
        <v>2225</v>
      </c>
      <c r="G145" s="708" t="s">
        <v>392</v>
      </c>
      <c r="H145" s="664"/>
      <c r="I145" s="663"/>
      <c r="J145" s="663"/>
      <c r="K145" s="663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08" t="s">
        <v>1916</v>
      </c>
      <c r="B146" s="708" t="s">
        <v>1917</v>
      </c>
      <c r="C146" s="710">
        <v>-3179.68</v>
      </c>
      <c r="D146" s="710">
        <v>1179.68</v>
      </c>
      <c r="E146" s="710">
        <v>-2000</v>
      </c>
      <c r="F146" s="708" t="s">
        <v>2225</v>
      </c>
      <c r="G146" s="708" t="s">
        <v>451</v>
      </c>
      <c r="H146" s="664"/>
      <c r="I146" s="663"/>
      <c r="J146" s="663"/>
      <c r="K146" s="663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08" t="s">
        <v>1850</v>
      </c>
      <c r="B147" s="708" t="s">
        <v>352</v>
      </c>
      <c r="C147" s="710">
        <v>1113231</v>
      </c>
      <c r="D147" s="710">
        <v>52757.32</v>
      </c>
      <c r="E147" s="710">
        <v>1165988.32</v>
      </c>
      <c r="F147" s="708" t="s">
        <v>2225</v>
      </c>
      <c r="G147" s="708" t="s">
        <v>352</v>
      </c>
      <c r="H147" s="664"/>
      <c r="I147" s="663"/>
      <c r="J147" s="663"/>
      <c r="K147" s="663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08" t="s">
        <v>1074</v>
      </c>
      <c r="B148" s="708" t="s">
        <v>382</v>
      </c>
      <c r="C148" s="710">
        <v>1419333.48</v>
      </c>
      <c r="D148" s="710">
        <v>-96342.21</v>
      </c>
      <c r="E148" s="710">
        <v>1322991.27</v>
      </c>
      <c r="F148" s="708" t="s">
        <v>2225</v>
      </c>
      <c r="G148" s="708" t="s">
        <v>382</v>
      </c>
      <c r="H148" s="664"/>
      <c r="I148" s="664"/>
      <c r="J148" s="664"/>
      <c r="K148" s="664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08" t="s">
        <v>1176</v>
      </c>
      <c r="B149" s="708" t="s">
        <v>353</v>
      </c>
      <c r="C149" s="710">
        <v>804755.35</v>
      </c>
      <c r="D149" s="710">
        <v>-164348.4</v>
      </c>
      <c r="E149" s="710">
        <v>640406.94999999995</v>
      </c>
      <c r="F149" s="708" t="s">
        <v>2225</v>
      </c>
      <c r="G149" s="708" t="s">
        <v>353</v>
      </c>
      <c r="H149" s="664"/>
      <c r="I149" s="664"/>
      <c r="J149" s="664"/>
      <c r="K149" s="664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08" t="s">
        <v>1083</v>
      </c>
      <c r="B150" s="708" t="s">
        <v>408</v>
      </c>
      <c r="C150" s="710">
        <v>845491.3</v>
      </c>
      <c r="D150" s="710">
        <v>-59174.92</v>
      </c>
      <c r="E150" s="710">
        <v>786316.38</v>
      </c>
      <c r="F150" s="708" t="s">
        <v>2225</v>
      </c>
      <c r="G150" s="708" t="s">
        <v>408</v>
      </c>
      <c r="H150" s="664"/>
      <c r="I150" s="663"/>
      <c r="J150" s="663"/>
      <c r="K150" s="663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08" t="s">
        <v>1092</v>
      </c>
      <c r="B151" s="708" t="s">
        <v>432</v>
      </c>
      <c r="C151" s="709">
        <v>645137.9</v>
      </c>
      <c r="D151" s="709">
        <v>157043.07</v>
      </c>
      <c r="E151" s="709">
        <v>802180.97</v>
      </c>
      <c r="F151" s="708" t="s">
        <v>2225</v>
      </c>
      <c r="G151" s="708" t="s">
        <v>432</v>
      </c>
      <c r="H151" s="709"/>
      <c r="I151" s="710"/>
      <c r="J151" s="710"/>
      <c r="K151" s="71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08" t="s">
        <v>1840</v>
      </c>
      <c r="B152" s="708" t="s">
        <v>819</v>
      </c>
      <c r="C152" s="710">
        <v>713804.54</v>
      </c>
      <c r="D152" s="710">
        <v>34851.15</v>
      </c>
      <c r="E152" s="710">
        <v>748655.69</v>
      </c>
      <c r="F152" s="708" t="s">
        <v>2225</v>
      </c>
      <c r="G152" s="708" t="s">
        <v>819</v>
      </c>
      <c r="H152" s="664"/>
      <c r="I152" s="663"/>
      <c r="J152" s="663"/>
      <c r="K152" s="663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08" t="s">
        <v>1107</v>
      </c>
      <c r="B153" s="708" t="s">
        <v>421</v>
      </c>
      <c r="C153" s="710">
        <v>303880.59999999998</v>
      </c>
      <c r="D153" s="710">
        <v>-12548.06</v>
      </c>
      <c r="E153" s="710">
        <v>291332.53999999998</v>
      </c>
      <c r="F153" s="708" t="s">
        <v>2225</v>
      </c>
      <c r="G153" s="708" t="s">
        <v>421</v>
      </c>
      <c r="H153" s="664"/>
      <c r="I153" s="663"/>
      <c r="J153" s="663"/>
      <c r="K153" s="663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08" t="s">
        <v>362</v>
      </c>
      <c r="B154" s="708" t="s">
        <v>1147</v>
      </c>
      <c r="C154" s="710">
        <v>723.47</v>
      </c>
      <c r="D154" s="710">
        <v>-723.47</v>
      </c>
      <c r="E154" s="710">
        <v>0</v>
      </c>
      <c r="F154" s="708" t="s">
        <v>2225</v>
      </c>
      <c r="G154" s="708" t="s">
        <v>421</v>
      </c>
      <c r="H154" s="664"/>
      <c r="I154" s="663"/>
      <c r="J154" s="663"/>
      <c r="K154" s="663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08" t="s">
        <v>1192</v>
      </c>
      <c r="B155" s="708" t="s">
        <v>881</v>
      </c>
      <c r="C155" s="710">
        <v>-7557.02</v>
      </c>
      <c r="D155" s="710">
        <v>3026.02</v>
      </c>
      <c r="E155" s="710">
        <v>-4531</v>
      </c>
      <c r="F155" s="708" t="s">
        <v>2225</v>
      </c>
      <c r="G155" s="708" t="s">
        <v>881</v>
      </c>
      <c r="H155" s="664"/>
      <c r="I155" s="663"/>
      <c r="J155" s="663"/>
      <c r="K155" s="663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08" t="s">
        <v>380</v>
      </c>
      <c r="B156" s="708" t="s">
        <v>462</v>
      </c>
      <c r="C156" s="709">
        <v>1314.5</v>
      </c>
      <c r="D156" s="709">
        <v>-21.66</v>
      </c>
      <c r="E156" s="709">
        <v>1292.8399999999999</v>
      </c>
      <c r="F156" s="708" t="s">
        <v>2225</v>
      </c>
      <c r="G156" s="708" t="s">
        <v>462</v>
      </c>
      <c r="H156" s="709"/>
      <c r="I156" s="710"/>
      <c r="J156" s="710"/>
      <c r="K156" s="71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08" t="s">
        <v>1825</v>
      </c>
      <c r="B157" s="708" t="s">
        <v>427</v>
      </c>
      <c r="C157" s="709">
        <v>163510.57999999999</v>
      </c>
      <c r="D157" s="709">
        <v>-21798.85</v>
      </c>
      <c r="E157" s="709">
        <v>141711.73000000001</v>
      </c>
      <c r="F157" s="708" t="s">
        <v>2225</v>
      </c>
      <c r="G157" s="708" t="s">
        <v>421</v>
      </c>
      <c r="H157" s="709"/>
      <c r="I157" s="710"/>
      <c r="J157" s="710"/>
      <c r="K157" s="71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08" t="s">
        <v>1821</v>
      </c>
      <c r="B158" s="708" t="s">
        <v>446</v>
      </c>
      <c r="C158" s="710">
        <v>8016.28</v>
      </c>
      <c r="D158" s="710">
        <v>-6082.05</v>
      </c>
      <c r="E158" s="710">
        <v>1934.23</v>
      </c>
      <c r="F158" s="708" t="s">
        <v>2225</v>
      </c>
      <c r="G158" s="708" t="s">
        <v>2245</v>
      </c>
      <c r="H158" s="657"/>
      <c r="I158" s="656"/>
      <c r="J158" s="656"/>
      <c r="K158" s="656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08" t="s">
        <v>1779</v>
      </c>
      <c r="B159" s="708" t="s">
        <v>1780</v>
      </c>
      <c r="C159" s="710">
        <v>-6702.79</v>
      </c>
      <c r="D159" s="710">
        <v>2731.76</v>
      </c>
      <c r="E159" s="710">
        <v>-3971.03</v>
      </c>
      <c r="F159" s="708" t="s">
        <v>2225</v>
      </c>
      <c r="G159" s="708" t="s">
        <v>2245</v>
      </c>
      <c r="H159" s="664"/>
      <c r="I159" s="663"/>
      <c r="J159" s="663"/>
      <c r="K159" s="663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08" t="s">
        <v>1811</v>
      </c>
      <c r="B160" s="708" t="s">
        <v>1812</v>
      </c>
      <c r="C160" s="710">
        <v>1553.3</v>
      </c>
      <c r="D160" s="710">
        <v>606.70000000000005</v>
      </c>
      <c r="E160" s="710">
        <v>2160</v>
      </c>
      <c r="F160" s="708" t="s">
        <v>2225</v>
      </c>
      <c r="G160" s="708" t="s">
        <v>2245</v>
      </c>
      <c r="H160" s="664"/>
      <c r="I160" s="663"/>
      <c r="J160" s="663"/>
      <c r="K160" s="663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08" t="s">
        <v>940</v>
      </c>
      <c r="B161" s="708" t="s">
        <v>386</v>
      </c>
      <c r="C161" s="709">
        <v>-283.35000000000002</v>
      </c>
      <c r="D161" s="709">
        <v>1683.35</v>
      </c>
      <c r="E161" s="709">
        <v>1400</v>
      </c>
      <c r="F161" s="708" t="s">
        <v>2225</v>
      </c>
      <c r="G161" s="708" t="s">
        <v>386</v>
      </c>
      <c r="H161" s="709"/>
      <c r="I161" s="710"/>
      <c r="J161" s="710"/>
      <c r="K161" s="71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08" t="s">
        <v>1823</v>
      </c>
      <c r="B162" s="708" t="s">
        <v>596</v>
      </c>
      <c r="C162" s="710">
        <v>-3000</v>
      </c>
      <c r="D162" s="710">
        <v>3000</v>
      </c>
      <c r="E162" s="710">
        <v>0</v>
      </c>
      <c r="F162" s="708" t="s">
        <v>2225</v>
      </c>
      <c r="G162" s="708" t="s">
        <v>386</v>
      </c>
      <c r="H162" s="664"/>
      <c r="I162" s="663"/>
      <c r="J162" s="663"/>
      <c r="K162" s="663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08" t="s">
        <v>1802</v>
      </c>
      <c r="B163" s="708" t="s">
        <v>442</v>
      </c>
      <c r="C163" s="709">
        <v>-3000</v>
      </c>
      <c r="D163" s="709">
        <v>3000</v>
      </c>
      <c r="E163" s="709">
        <v>0</v>
      </c>
      <c r="F163" s="708" t="s">
        <v>2225</v>
      </c>
      <c r="G163" s="708" t="s">
        <v>386</v>
      </c>
      <c r="H163" s="709"/>
      <c r="I163" s="710"/>
      <c r="J163" s="710"/>
      <c r="K163" s="71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08" t="s">
        <v>1748</v>
      </c>
      <c r="B164" s="708" t="s">
        <v>1009</v>
      </c>
      <c r="C164" s="709">
        <v>0</v>
      </c>
      <c r="D164" s="709">
        <v>1904</v>
      </c>
      <c r="E164" s="709">
        <v>1904</v>
      </c>
      <c r="F164" s="708" t="s">
        <v>2225</v>
      </c>
      <c r="G164" s="708" t="s">
        <v>386</v>
      </c>
      <c r="H164" s="709"/>
      <c r="I164" s="710"/>
      <c r="J164" s="710"/>
      <c r="K164" s="71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08" t="s">
        <v>597</v>
      </c>
      <c r="B165" s="708" t="s">
        <v>598</v>
      </c>
      <c r="C165" s="710">
        <v>-14880.62</v>
      </c>
      <c r="D165" s="710">
        <v>14880.62</v>
      </c>
      <c r="E165" s="710">
        <v>0</v>
      </c>
      <c r="F165" s="708" t="s">
        <v>2225</v>
      </c>
      <c r="G165" s="708" t="s">
        <v>386</v>
      </c>
      <c r="H165" s="664"/>
      <c r="I165" s="664"/>
      <c r="J165" s="664"/>
      <c r="K165" s="664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08" t="s">
        <v>1860</v>
      </c>
      <c r="B166" s="708" t="s">
        <v>452</v>
      </c>
      <c r="C166" s="709">
        <v>-500</v>
      </c>
      <c r="D166" s="709">
        <v>500</v>
      </c>
      <c r="E166" s="709">
        <v>0</v>
      </c>
      <c r="F166" s="708" t="s">
        <v>2225</v>
      </c>
      <c r="G166" s="708" t="s">
        <v>386</v>
      </c>
      <c r="H166" s="709"/>
      <c r="I166" s="710"/>
      <c r="J166" s="710"/>
      <c r="K166" s="71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08" t="s">
        <v>405</v>
      </c>
      <c r="B167" s="708" t="s">
        <v>406</v>
      </c>
      <c r="C167" s="710">
        <v>-27916.06</v>
      </c>
      <c r="D167" s="710">
        <v>4617.99</v>
      </c>
      <c r="E167" s="710">
        <v>-23298.07</v>
      </c>
      <c r="F167" s="708" t="s">
        <v>2225</v>
      </c>
      <c r="G167" s="708" t="s">
        <v>386</v>
      </c>
      <c r="H167" s="664"/>
      <c r="I167" s="663"/>
      <c r="J167" s="663"/>
      <c r="K167" s="663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08" t="s">
        <v>1184</v>
      </c>
      <c r="B168" s="708" t="s">
        <v>388</v>
      </c>
      <c r="C168" s="710">
        <v>593538.1</v>
      </c>
      <c r="D168" s="710">
        <v>0</v>
      </c>
      <c r="E168" s="710">
        <v>593538.1</v>
      </c>
      <c r="F168" s="708" t="s">
        <v>2225</v>
      </c>
      <c r="G168" s="708" t="s">
        <v>388</v>
      </c>
      <c r="H168" s="664"/>
      <c r="I168" s="663"/>
      <c r="J168" s="663"/>
      <c r="K168" s="663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08" t="s">
        <v>1356</v>
      </c>
      <c r="B169" s="708" t="s">
        <v>381</v>
      </c>
      <c r="C169" s="710">
        <v>17171.47</v>
      </c>
      <c r="D169" s="710">
        <v>0</v>
      </c>
      <c r="E169" s="710">
        <v>17171.47</v>
      </c>
      <c r="F169" s="708" t="s">
        <v>2225</v>
      </c>
      <c r="G169" s="708" t="s">
        <v>381</v>
      </c>
      <c r="H169" s="657"/>
      <c r="I169" s="656"/>
      <c r="J169" s="656"/>
      <c r="K169" s="656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08" t="s">
        <v>1357</v>
      </c>
      <c r="B170" s="708" t="s">
        <v>1358</v>
      </c>
      <c r="C170" s="709">
        <v>347686.1</v>
      </c>
      <c r="D170" s="709">
        <v>-7466.37</v>
      </c>
      <c r="E170" s="709">
        <v>340219.73</v>
      </c>
      <c r="F170" s="708" t="s">
        <v>2225</v>
      </c>
      <c r="G170" s="708" t="s">
        <v>1358</v>
      </c>
      <c r="H170" s="709"/>
      <c r="I170" s="710"/>
      <c r="J170" s="710"/>
      <c r="K170" s="71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08" t="s">
        <v>1359</v>
      </c>
      <c r="B171" s="708" t="s">
        <v>1360</v>
      </c>
      <c r="C171" s="710">
        <v>77175.42</v>
      </c>
      <c r="D171" s="710">
        <v>0</v>
      </c>
      <c r="E171" s="710">
        <v>77175.42</v>
      </c>
      <c r="F171" s="708" t="s">
        <v>2225</v>
      </c>
      <c r="G171" s="708" t="s">
        <v>1360</v>
      </c>
      <c r="H171" s="664"/>
      <c r="I171" s="664"/>
      <c r="J171" s="664"/>
      <c r="K171" s="664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08" t="s">
        <v>1361</v>
      </c>
      <c r="B172" s="708" t="s">
        <v>1362</v>
      </c>
      <c r="C172" s="709">
        <v>153944.53</v>
      </c>
      <c r="D172" s="709">
        <v>0</v>
      </c>
      <c r="E172" s="709">
        <v>153944.53</v>
      </c>
      <c r="F172" s="708" t="s">
        <v>2225</v>
      </c>
      <c r="G172" s="708" t="s">
        <v>1362</v>
      </c>
      <c r="H172" s="709"/>
      <c r="I172" s="710"/>
      <c r="J172" s="710"/>
      <c r="K172" s="71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08" t="s">
        <v>1365</v>
      </c>
      <c r="B173" s="708" t="s">
        <v>376</v>
      </c>
      <c r="C173" s="710">
        <v>2144.98</v>
      </c>
      <c r="D173" s="710">
        <v>0</v>
      </c>
      <c r="E173" s="710">
        <v>2144.98</v>
      </c>
      <c r="F173" s="708" t="s">
        <v>2225</v>
      </c>
      <c r="G173" s="708" t="s">
        <v>376</v>
      </c>
      <c r="H173" s="657"/>
      <c r="I173" s="656"/>
      <c r="J173" s="656"/>
      <c r="K173" s="656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08" t="s">
        <v>1020</v>
      </c>
      <c r="B174" s="708" t="s">
        <v>600</v>
      </c>
      <c r="C174" s="709">
        <v>1352045.87</v>
      </c>
      <c r="D174" s="709">
        <v>0</v>
      </c>
      <c r="E174" s="709">
        <v>1352045.87</v>
      </c>
      <c r="F174" s="708" t="s">
        <v>2225</v>
      </c>
      <c r="G174" s="708" t="s">
        <v>600</v>
      </c>
      <c r="H174" s="709"/>
      <c r="I174" s="710"/>
      <c r="J174" s="710"/>
      <c r="K174" s="71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08" t="s">
        <v>1021</v>
      </c>
      <c r="B175" s="708" t="s">
        <v>1022</v>
      </c>
      <c r="C175" s="710">
        <v>3000</v>
      </c>
      <c r="D175" s="710">
        <v>0</v>
      </c>
      <c r="E175" s="710">
        <v>3000</v>
      </c>
      <c r="F175" s="708" t="s">
        <v>2225</v>
      </c>
      <c r="G175" s="708" t="s">
        <v>1022</v>
      </c>
      <c r="H175" s="664"/>
      <c r="I175" s="663"/>
      <c r="J175" s="663"/>
      <c r="K175" s="663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08" t="s">
        <v>1366</v>
      </c>
      <c r="B176" s="708" t="s">
        <v>1367</v>
      </c>
      <c r="C176" s="710">
        <v>4854961.3099999996</v>
      </c>
      <c r="D176" s="710">
        <v>0</v>
      </c>
      <c r="E176" s="710">
        <v>4854961.3099999996</v>
      </c>
      <c r="F176" s="708" t="s">
        <v>2225</v>
      </c>
      <c r="G176" s="708" t="s">
        <v>1367</v>
      </c>
      <c r="H176" s="664"/>
      <c r="I176" s="663"/>
      <c r="J176" s="663"/>
      <c r="K176" s="663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08" t="s">
        <v>1846</v>
      </c>
      <c r="B177" s="708" t="s">
        <v>354</v>
      </c>
      <c r="C177" s="710">
        <v>-129046.62</v>
      </c>
      <c r="D177" s="710">
        <v>49489.63</v>
      </c>
      <c r="E177" s="710">
        <v>-79556.990000000005</v>
      </c>
      <c r="F177" s="708" t="s">
        <v>2226</v>
      </c>
      <c r="G177" s="708" t="s">
        <v>354</v>
      </c>
      <c r="H177" s="664"/>
      <c r="I177" s="663"/>
      <c r="J177" s="663"/>
      <c r="K177" s="663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1855</v>
      </c>
      <c r="B178" s="708" t="s">
        <v>984</v>
      </c>
      <c r="C178" s="710">
        <v>-92916.79</v>
      </c>
      <c r="D178" s="710">
        <v>56281.82</v>
      </c>
      <c r="E178" s="710">
        <v>-36634.97</v>
      </c>
      <c r="F178" s="708" t="s">
        <v>2226</v>
      </c>
      <c r="G178" s="708" t="s">
        <v>354</v>
      </c>
      <c r="H178" s="664"/>
      <c r="I178" s="663"/>
      <c r="J178" s="663"/>
      <c r="K178" s="663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1835</v>
      </c>
      <c r="B179" s="708" t="s">
        <v>957</v>
      </c>
      <c r="C179" s="710">
        <v>-82398.33</v>
      </c>
      <c r="D179" s="710">
        <v>205129.53</v>
      </c>
      <c r="E179" s="710">
        <v>122731.2</v>
      </c>
      <c r="F179" s="708" t="s">
        <v>2226</v>
      </c>
      <c r="G179" s="708" t="s">
        <v>354</v>
      </c>
      <c r="H179" s="664"/>
      <c r="I179" s="663"/>
      <c r="J179" s="663"/>
      <c r="K179" s="663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1928</v>
      </c>
      <c r="B180" s="708" t="s">
        <v>1929</v>
      </c>
      <c r="C180" s="710">
        <v>-815.5</v>
      </c>
      <c r="D180" s="710">
        <v>815.5</v>
      </c>
      <c r="E180" s="710">
        <v>0</v>
      </c>
      <c r="F180" s="708" t="s">
        <v>2226</v>
      </c>
      <c r="G180" s="708" t="s">
        <v>354</v>
      </c>
      <c r="H180" s="664"/>
      <c r="I180" s="663"/>
      <c r="J180" s="663"/>
      <c r="K180" s="663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1685</v>
      </c>
      <c r="B181" s="708" t="s">
        <v>1017</v>
      </c>
      <c r="C181" s="710">
        <v>-20267</v>
      </c>
      <c r="D181" s="710">
        <v>-23889</v>
      </c>
      <c r="E181" s="710">
        <v>-44156</v>
      </c>
      <c r="F181" s="708" t="s">
        <v>2226</v>
      </c>
      <c r="G181" s="708" t="s">
        <v>354</v>
      </c>
      <c r="H181" s="657"/>
      <c r="I181" s="656"/>
      <c r="J181" s="656"/>
      <c r="K181" s="656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1220</v>
      </c>
      <c r="B182" s="708" t="s">
        <v>862</v>
      </c>
      <c r="C182" s="710">
        <v>-104.85</v>
      </c>
      <c r="D182" s="710">
        <v>104.85</v>
      </c>
      <c r="E182" s="710">
        <v>0</v>
      </c>
      <c r="F182" s="708" t="s">
        <v>2226</v>
      </c>
      <c r="G182" s="708" t="s">
        <v>354</v>
      </c>
      <c r="H182" s="657"/>
      <c r="I182" s="656"/>
      <c r="J182" s="656"/>
      <c r="K182" s="656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1814</v>
      </c>
      <c r="B183" s="708" t="s">
        <v>934</v>
      </c>
      <c r="C183" s="710">
        <v>-10700</v>
      </c>
      <c r="D183" s="710">
        <v>10700</v>
      </c>
      <c r="E183" s="710">
        <v>0</v>
      </c>
      <c r="F183" s="708" t="s">
        <v>2226</v>
      </c>
      <c r="G183" s="708" t="s">
        <v>2248</v>
      </c>
      <c r="H183" s="664"/>
      <c r="I183" s="663"/>
      <c r="J183" s="663"/>
      <c r="K183" s="663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1661</v>
      </c>
      <c r="B184" s="708" t="s">
        <v>885</v>
      </c>
      <c r="C184" s="710">
        <v>-16597.89</v>
      </c>
      <c r="D184" s="710">
        <v>-500</v>
      </c>
      <c r="E184" s="710">
        <v>-17097.89</v>
      </c>
      <c r="F184" s="708" t="s">
        <v>2226</v>
      </c>
      <c r="G184" s="708" t="s">
        <v>2248</v>
      </c>
      <c r="H184" s="657"/>
      <c r="I184" s="656"/>
      <c r="J184" s="656"/>
      <c r="K184" s="656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1185</v>
      </c>
      <c r="B185" s="708" t="s">
        <v>459</v>
      </c>
      <c r="C185" s="710">
        <v>-10335.450000000001</v>
      </c>
      <c r="D185" s="710">
        <v>2990.45</v>
      </c>
      <c r="E185" s="710">
        <v>-7345</v>
      </c>
      <c r="F185" s="708" t="s">
        <v>2226</v>
      </c>
      <c r="G185" s="708" t="s">
        <v>354</v>
      </c>
      <c r="H185" s="709"/>
      <c r="I185" s="709"/>
      <c r="J185" s="709"/>
      <c r="K185" s="70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2198</v>
      </c>
      <c r="B186" s="708" t="s">
        <v>2199</v>
      </c>
      <c r="C186" s="710">
        <v>-83547.539999999994</v>
      </c>
      <c r="D186" s="710">
        <v>13988.14</v>
      </c>
      <c r="E186" s="710">
        <v>-69559.399999999994</v>
      </c>
      <c r="F186" s="708" t="s">
        <v>2226</v>
      </c>
      <c r="G186" s="708" t="s">
        <v>354</v>
      </c>
      <c r="H186" s="664"/>
      <c r="I186" s="663"/>
      <c r="J186" s="663"/>
      <c r="K186" s="663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2419</v>
      </c>
      <c r="B187" s="708" t="s">
        <v>2420</v>
      </c>
      <c r="C187" s="710">
        <v>-277.20999999999998</v>
      </c>
      <c r="D187" s="710">
        <v>-183.5</v>
      </c>
      <c r="E187" s="710">
        <v>-460.71</v>
      </c>
      <c r="F187" s="708" t="s">
        <v>2226</v>
      </c>
      <c r="G187" s="708" t="s">
        <v>354</v>
      </c>
      <c r="H187" s="600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08" t="s">
        <v>2548</v>
      </c>
      <c r="B188" s="708" t="s">
        <v>1919</v>
      </c>
      <c r="C188" s="710">
        <v>0</v>
      </c>
      <c r="D188" s="710">
        <v>-3518.01</v>
      </c>
      <c r="E188" s="710">
        <v>-3518.01</v>
      </c>
      <c r="F188" s="708" t="s">
        <v>2226</v>
      </c>
      <c r="G188" s="708" t="s">
        <v>2248</v>
      </c>
      <c r="H188" s="600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2440</v>
      </c>
      <c r="B189" s="708" t="s">
        <v>2441</v>
      </c>
      <c r="C189" s="710">
        <v>0</v>
      </c>
      <c r="D189" s="710">
        <v>-12212</v>
      </c>
      <c r="E189" s="710">
        <v>-12212</v>
      </c>
      <c r="F189" s="708" t="s">
        <v>2226</v>
      </c>
      <c r="G189" s="708" t="s">
        <v>2248</v>
      </c>
      <c r="H189" s="664"/>
      <c r="I189" s="664"/>
      <c r="J189" s="664"/>
      <c r="K189" s="664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391</v>
      </c>
      <c r="B190" s="708" t="s">
        <v>377</v>
      </c>
      <c r="C190" s="710">
        <v>-222500</v>
      </c>
      <c r="D190" s="710">
        <v>-36845</v>
      </c>
      <c r="E190" s="710">
        <v>-259345</v>
      </c>
      <c r="F190" s="708" t="s">
        <v>2226</v>
      </c>
      <c r="G190" s="708" t="s">
        <v>377</v>
      </c>
      <c r="H190" s="664"/>
      <c r="I190" s="663"/>
      <c r="J190" s="663"/>
      <c r="K190" s="663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1851</v>
      </c>
      <c r="B191" s="708" t="s">
        <v>363</v>
      </c>
      <c r="C191" s="710">
        <v>-3863455.09</v>
      </c>
      <c r="D191" s="710">
        <v>513445.33</v>
      </c>
      <c r="E191" s="710">
        <v>-3350009.76</v>
      </c>
      <c r="F191" s="708" t="s">
        <v>2226</v>
      </c>
      <c r="G191" s="708" t="s">
        <v>363</v>
      </c>
      <c r="H191" s="664"/>
      <c r="I191" s="664"/>
      <c r="J191" s="664"/>
      <c r="K191" s="664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1849</v>
      </c>
      <c r="B192" s="708" t="s">
        <v>355</v>
      </c>
      <c r="C192" s="710">
        <v>-1705344.31</v>
      </c>
      <c r="D192" s="710">
        <v>-19238.939999999999</v>
      </c>
      <c r="E192" s="710">
        <v>-1724583.25</v>
      </c>
      <c r="F192" s="708" t="s">
        <v>2226</v>
      </c>
      <c r="G192" s="708" t="s">
        <v>355</v>
      </c>
      <c r="H192" s="600"/>
      <c r="I192" s="602"/>
      <c r="J192" s="602"/>
      <c r="K192" s="602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1084</v>
      </c>
      <c r="B193" s="708" t="s">
        <v>1085</v>
      </c>
      <c r="C193" s="710">
        <v>-28389.96</v>
      </c>
      <c r="D193" s="710">
        <v>4764.25</v>
      </c>
      <c r="E193" s="710">
        <v>-23625.71</v>
      </c>
      <c r="F193" s="708" t="s">
        <v>2226</v>
      </c>
      <c r="G193" s="708" t="s">
        <v>1085</v>
      </c>
      <c r="H193" s="600"/>
      <c r="I193" s="601"/>
      <c r="J193" s="601"/>
      <c r="K193" s="601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361</v>
      </c>
      <c r="B194" s="708" t="s">
        <v>424</v>
      </c>
      <c r="C194" s="710">
        <v>-85315.49</v>
      </c>
      <c r="D194" s="710">
        <v>50689.61</v>
      </c>
      <c r="E194" s="710">
        <v>-34625.879999999997</v>
      </c>
      <c r="F194" s="708" t="s">
        <v>2226</v>
      </c>
      <c r="G194" s="708" t="s">
        <v>424</v>
      </c>
      <c r="H194" s="664"/>
      <c r="I194" s="663"/>
      <c r="J194" s="663"/>
      <c r="K194" s="663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1108</v>
      </c>
      <c r="B195" s="708" t="s">
        <v>443</v>
      </c>
      <c r="C195" s="710">
        <v>-111722.98</v>
      </c>
      <c r="D195" s="710">
        <v>-4584.59</v>
      </c>
      <c r="E195" s="710">
        <v>-116307.57</v>
      </c>
      <c r="F195" s="708" t="s">
        <v>2226</v>
      </c>
      <c r="G195" s="708" t="s">
        <v>443</v>
      </c>
      <c r="H195" s="664"/>
      <c r="I195" s="663"/>
      <c r="J195" s="663"/>
      <c r="K195" s="663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360</v>
      </c>
      <c r="B196" s="708" t="s">
        <v>919</v>
      </c>
      <c r="C196" s="710">
        <v>-18132.14</v>
      </c>
      <c r="D196" s="710">
        <v>13685.69</v>
      </c>
      <c r="E196" s="710">
        <v>-4446.45</v>
      </c>
      <c r="F196" s="708" t="s">
        <v>2226</v>
      </c>
      <c r="G196" s="708" t="s">
        <v>443</v>
      </c>
      <c r="H196" s="664"/>
      <c r="I196" s="663"/>
      <c r="J196" s="663"/>
      <c r="K196" s="663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455</v>
      </c>
      <c r="B197" s="708" t="s">
        <v>456</v>
      </c>
      <c r="C197" s="710">
        <v>-9948</v>
      </c>
      <c r="D197" s="710">
        <v>-7403</v>
      </c>
      <c r="E197" s="710">
        <v>-17351</v>
      </c>
      <c r="F197" s="708" t="s">
        <v>2226</v>
      </c>
      <c r="G197" s="708" t="s">
        <v>456</v>
      </c>
      <c r="H197" s="664"/>
      <c r="I197" s="663"/>
      <c r="J197" s="663"/>
      <c r="K197" s="663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2141</v>
      </c>
      <c r="B198" s="708" t="s">
        <v>2142</v>
      </c>
      <c r="C198" s="710">
        <v>0</v>
      </c>
      <c r="D198" s="710">
        <v>-120</v>
      </c>
      <c r="E198" s="710">
        <v>-120</v>
      </c>
      <c r="F198" s="708" t="s">
        <v>2226</v>
      </c>
      <c r="G198" s="708" t="s">
        <v>424</v>
      </c>
      <c r="H198" s="664"/>
      <c r="I198" s="663"/>
      <c r="J198" s="663"/>
      <c r="K198" s="663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08" t="s">
        <v>2430</v>
      </c>
      <c r="B199" s="708" t="s">
        <v>811</v>
      </c>
      <c r="C199" s="710">
        <v>15699</v>
      </c>
      <c r="D199" s="710">
        <v>12228</v>
      </c>
      <c r="E199" s="710">
        <v>27927</v>
      </c>
      <c r="F199" s="708" t="s">
        <v>2226</v>
      </c>
      <c r="G199" s="708" t="s">
        <v>811</v>
      </c>
      <c r="H199" s="657"/>
      <c r="I199" s="656"/>
      <c r="J199" s="656"/>
      <c r="K199" s="656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1792</v>
      </c>
      <c r="B200" s="708" t="s">
        <v>466</v>
      </c>
      <c r="C200" s="710">
        <v>-4555</v>
      </c>
      <c r="D200" s="710">
        <v>4555</v>
      </c>
      <c r="E200" s="710">
        <v>0</v>
      </c>
      <c r="F200" s="708" t="s">
        <v>2226</v>
      </c>
      <c r="G200" s="708" t="s">
        <v>2250</v>
      </c>
      <c r="H200" s="664"/>
      <c r="I200" s="663"/>
      <c r="J200" s="663"/>
      <c r="K200" s="663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1059</v>
      </c>
      <c r="B201" s="708" t="s">
        <v>1023</v>
      </c>
      <c r="C201" s="710">
        <v>-270.38</v>
      </c>
      <c r="D201" s="710">
        <v>-75.94</v>
      </c>
      <c r="E201" s="710">
        <v>-346.32</v>
      </c>
      <c r="F201" s="708" t="s">
        <v>2226</v>
      </c>
      <c r="G201" s="708" t="s">
        <v>2250</v>
      </c>
      <c r="H201" s="664"/>
      <c r="I201" s="663"/>
      <c r="J201" s="663"/>
      <c r="K201" s="663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1157</v>
      </c>
      <c r="B202" s="708" t="s">
        <v>1060</v>
      </c>
      <c r="C202" s="710">
        <v>1768.55</v>
      </c>
      <c r="D202" s="710">
        <v>-1768.55</v>
      </c>
      <c r="E202" s="710">
        <v>0</v>
      </c>
      <c r="F202" s="708" t="s">
        <v>2226</v>
      </c>
      <c r="G202" s="708" t="s">
        <v>2250</v>
      </c>
      <c r="H202" s="657"/>
      <c r="I202" s="656"/>
      <c r="J202" s="656"/>
      <c r="K202" s="656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1216</v>
      </c>
      <c r="B203" s="708" t="s">
        <v>1217</v>
      </c>
      <c r="C203" s="710">
        <v>-940.28</v>
      </c>
      <c r="D203" s="710">
        <v>-678.19</v>
      </c>
      <c r="E203" s="710">
        <v>-1618.47</v>
      </c>
      <c r="F203" s="708" t="s">
        <v>2226</v>
      </c>
      <c r="G203" s="708" t="s">
        <v>2250</v>
      </c>
      <c r="H203" s="657"/>
      <c r="I203" s="656"/>
      <c r="J203" s="656"/>
      <c r="K203" s="656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1210</v>
      </c>
      <c r="B204" s="708" t="s">
        <v>1211</v>
      </c>
      <c r="C204" s="710">
        <v>-10508.19</v>
      </c>
      <c r="D204" s="710">
        <v>-1195.5899999999999</v>
      </c>
      <c r="E204" s="710">
        <v>-11703.78</v>
      </c>
      <c r="F204" s="708" t="s">
        <v>2226</v>
      </c>
      <c r="G204" s="708" t="s">
        <v>2250</v>
      </c>
      <c r="H204" s="664"/>
      <c r="I204" s="663"/>
      <c r="J204" s="663"/>
      <c r="K204" s="663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1845</v>
      </c>
      <c r="B205" s="708" t="s">
        <v>403</v>
      </c>
      <c r="C205" s="710">
        <v>-152889.43</v>
      </c>
      <c r="D205" s="710">
        <v>24987.98</v>
      </c>
      <c r="E205" s="710">
        <v>-127901.45</v>
      </c>
      <c r="F205" s="708" t="s">
        <v>2226</v>
      </c>
      <c r="G205" s="708" t="s">
        <v>403</v>
      </c>
      <c r="H205" s="664"/>
      <c r="I205" s="663"/>
      <c r="J205" s="663"/>
      <c r="K205" s="663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1128</v>
      </c>
      <c r="B206" s="708" t="s">
        <v>966</v>
      </c>
      <c r="C206" s="710">
        <v>157733.35</v>
      </c>
      <c r="D206" s="710">
        <v>-55483.58</v>
      </c>
      <c r="E206" s="710">
        <v>102249.77</v>
      </c>
      <c r="F206" s="708" t="s">
        <v>2226</v>
      </c>
      <c r="G206" s="708" t="s">
        <v>403</v>
      </c>
      <c r="H206" s="664"/>
      <c r="I206" s="664"/>
      <c r="J206" s="664"/>
      <c r="K206" s="664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2414</v>
      </c>
      <c r="B207" s="708" t="s">
        <v>2415</v>
      </c>
      <c r="C207" s="710">
        <v>-32366.87</v>
      </c>
      <c r="D207" s="710">
        <v>-5454.25</v>
      </c>
      <c r="E207" s="710">
        <v>-37821.120000000003</v>
      </c>
      <c r="F207" s="708" t="s">
        <v>2226</v>
      </c>
      <c r="G207" s="708" t="s">
        <v>403</v>
      </c>
      <c r="H207" s="664"/>
      <c r="I207" s="663"/>
      <c r="J207" s="663"/>
      <c r="K207" s="663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08" t="s">
        <v>351</v>
      </c>
      <c r="B208" s="708" t="s">
        <v>1829</v>
      </c>
      <c r="C208" s="710">
        <v>-66346.399999999994</v>
      </c>
      <c r="D208" s="710">
        <v>-4429.3500000000004</v>
      </c>
      <c r="E208" s="710">
        <v>-70775.75</v>
      </c>
      <c r="F208" s="708" t="s">
        <v>2226</v>
      </c>
      <c r="G208" s="708" t="s">
        <v>403</v>
      </c>
      <c r="H208" s="657"/>
      <c r="I208" s="656"/>
      <c r="J208" s="656"/>
      <c r="K208" s="656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1700</v>
      </c>
      <c r="B209" s="708" t="s">
        <v>1701</v>
      </c>
      <c r="C209" s="710">
        <v>43496.480000000003</v>
      </c>
      <c r="D209" s="710">
        <v>-19774.14</v>
      </c>
      <c r="E209" s="710">
        <v>23722.34</v>
      </c>
      <c r="F209" s="708" t="s">
        <v>2226</v>
      </c>
      <c r="G209" s="708" t="s">
        <v>403</v>
      </c>
      <c r="H209" s="664"/>
      <c r="I209" s="663"/>
      <c r="J209" s="663"/>
      <c r="K209" s="663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08" t="s">
        <v>1633</v>
      </c>
      <c r="B210" s="708" t="s">
        <v>1634</v>
      </c>
      <c r="C210" s="710">
        <v>-861</v>
      </c>
      <c r="D210" s="710">
        <v>288</v>
      </c>
      <c r="E210" s="710">
        <v>-573</v>
      </c>
      <c r="F210" s="708" t="s">
        <v>2226</v>
      </c>
      <c r="G210" s="708" t="s">
        <v>403</v>
      </c>
      <c r="H210" s="709"/>
      <c r="I210" s="709"/>
      <c r="J210" s="709"/>
      <c r="K210" s="70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08" t="s">
        <v>1930</v>
      </c>
      <c r="B211" s="708" t="s">
        <v>1931</v>
      </c>
      <c r="C211" s="710">
        <v>0</v>
      </c>
      <c r="D211" s="710">
        <v>-104.85</v>
      </c>
      <c r="E211" s="710">
        <v>-104.85</v>
      </c>
      <c r="F211" s="708" t="s">
        <v>2226</v>
      </c>
      <c r="G211" s="708" t="s">
        <v>403</v>
      </c>
      <c r="H211" s="664"/>
      <c r="I211" s="663"/>
      <c r="J211" s="663"/>
      <c r="K211" s="663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08" t="s">
        <v>2427</v>
      </c>
      <c r="B212" s="708" t="s">
        <v>2428</v>
      </c>
      <c r="C212" s="710">
        <v>-314495.12</v>
      </c>
      <c r="D212" s="710">
        <v>-3242.47</v>
      </c>
      <c r="E212" s="710">
        <v>-317737.59000000003</v>
      </c>
      <c r="F212" s="708" t="s">
        <v>2226</v>
      </c>
      <c r="G212" s="708" t="s">
        <v>2428</v>
      </c>
      <c r="H212" s="664"/>
      <c r="I212" s="663"/>
      <c r="J212" s="663"/>
      <c r="K212" s="663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08" t="s">
        <v>2333</v>
      </c>
      <c r="B213" s="708" t="s">
        <v>2334</v>
      </c>
      <c r="C213" s="710">
        <v>-19252.95</v>
      </c>
      <c r="D213" s="710">
        <v>-79924.44</v>
      </c>
      <c r="E213" s="710">
        <v>-99177.39</v>
      </c>
      <c r="F213" s="708" t="s">
        <v>2226</v>
      </c>
      <c r="G213" s="708" t="s">
        <v>2334</v>
      </c>
      <c r="H213" s="664"/>
      <c r="I213" s="663"/>
      <c r="J213" s="663"/>
      <c r="K213" s="663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08" t="s">
        <v>1827</v>
      </c>
      <c r="B214" s="708" t="s">
        <v>448</v>
      </c>
      <c r="C214" s="710">
        <v>-1279.93</v>
      </c>
      <c r="D214" s="710">
        <v>-48720.07</v>
      </c>
      <c r="E214" s="710">
        <v>-50000</v>
      </c>
      <c r="F214" s="708" t="s">
        <v>2226</v>
      </c>
      <c r="G214" s="708" t="s">
        <v>448</v>
      </c>
      <c r="H214" s="709"/>
      <c r="I214" s="709"/>
      <c r="J214" s="709"/>
      <c r="K214" s="70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08" t="s">
        <v>1080</v>
      </c>
      <c r="B215" s="708" t="s">
        <v>1063</v>
      </c>
      <c r="C215" s="710">
        <v>-53169.01</v>
      </c>
      <c r="D215" s="710">
        <v>-830.99</v>
      </c>
      <c r="E215" s="710">
        <v>-54000</v>
      </c>
      <c r="F215" s="708" t="s">
        <v>2226</v>
      </c>
      <c r="G215" s="708" t="s">
        <v>1063</v>
      </c>
      <c r="H215" s="664"/>
      <c r="I215" s="663"/>
      <c r="J215" s="663"/>
      <c r="K215" s="663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08" t="s">
        <v>1920</v>
      </c>
      <c r="B216" s="708" t="s">
        <v>1921</v>
      </c>
      <c r="C216" s="710">
        <v>-36315.29</v>
      </c>
      <c r="D216" s="710">
        <v>12979.81</v>
      </c>
      <c r="E216" s="710">
        <v>-23335.48</v>
      </c>
      <c r="F216" s="708" t="s">
        <v>2226</v>
      </c>
      <c r="G216" s="708" t="s">
        <v>1063</v>
      </c>
      <c r="H216" s="600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08" t="s">
        <v>1922</v>
      </c>
      <c r="B217" s="708" t="s">
        <v>1923</v>
      </c>
      <c r="C217" s="710">
        <v>-48527.68</v>
      </c>
      <c r="D217" s="710">
        <v>977.68</v>
      </c>
      <c r="E217" s="710">
        <v>-47550</v>
      </c>
      <c r="F217" s="708" t="s">
        <v>2226</v>
      </c>
      <c r="G217" s="708" t="s">
        <v>1063</v>
      </c>
      <c r="H217" s="664"/>
      <c r="I217" s="663"/>
      <c r="J217" s="663"/>
      <c r="K217" s="663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08" t="s">
        <v>1124</v>
      </c>
      <c r="B218" s="708" t="s">
        <v>1125</v>
      </c>
      <c r="C218" s="710">
        <v>-20279</v>
      </c>
      <c r="D218" s="710">
        <v>0</v>
      </c>
      <c r="E218" s="710">
        <v>-20279</v>
      </c>
      <c r="F218" s="708" t="s">
        <v>2226</v>
      </c>
      <c r="G218" s="708" t="s">
        <v>2249</v>
      </c>
      <c r="H218" s="709"/>
      <c r="I218" s="709"/>
      <c r="J218" s="709"/>
      <c r="K218" s="70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08" t="s">
        <v>2303</v>
      </c>
      <c r="B219" s="708" t="s">
        <v>2304</v>
      </c>
      <c r="C219" s="710">
        <v>-149005</v>
      </c>
      <c r="D219" s="710">
        <v>0</v>
      </c>
      <c r="E219" s="710">
        <v>-149005</v>
      </c>
      <c r="F219" s="708" t="s">
        <v>2226</v>
      </c>
      <c r="G219" s="708" t="s">
        <v>2249</v>
      </c>
      <c r="H219" s="664"/>
      <c r="I219" s="663"/>
      <c r="J219" s="663"/>
      <c r="K219" s="663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08" t="s">
        <v>1111</v>
      </c>
      <c r="B220" s="708" t="s">
        <v>1112</v>
      </c>
      <c r="C220" s="710">
        <v>-14997</v>
      </c>
      <c r="D220" s="710">
        <v>0</v>
      </c>
      <c r="E220" s="710">
        <v>-14997</v>
      </c>
      <c r="F220" s="708" t="s">
        <v>2226</v>
      </c>
      <c r="G220" s="708" t="s">
        <v>1112</v>
      </c>
      <c r="H220" s="664"/>
      <c r="I220" s="663"/>
      <c r="J220" s="663"/>
      <c r="K220" s="663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08" t="s">
        <v>2305</v>
      </c>
      <c r="B221" s="708" t="s">
        <v>2306</v>
      </c>
      <c r="C221" s="710">
        <v>-74316.3</v>
      </c>
      <c r="D221" s="710">
        <v>4710.8</v>
      </c>
      <c r="E221" s="710">
        <v>-69605.5</v>
      </c>
      <c r="F221" s="708" t="s">
        <v>2226</v>
      </c>
      <c r="G221" s="708" t="s">
        <v>2306</v>
      </c>
      <c r="H221" s="657"/>
      <c r="I221" s="656"/>
      <c r="J221" s="656"/>
      <c r="K221" s="656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08" t="s">
        <v>1760</v>
      </c>
      <c r="B222" s="708" t="s">
        <v>1761</v>
      </c>
      <c r="C222" s="710">
        <v>2398.42</v>
      </c>
      <c r="D222" s="710">
        <v>-2398.42</v>
      </c>
      <c r="E222" s="710">
        <v>0</v>
      </c>
      <c r="F222" s="708" t="s">
        <v>2226</v>
      </c>
      <c r="G222" s="708" t="s">
        <v>1761</v>
      </c>
      <c r="H222" s="664"/>
      <c r="I222" s="664"/>
      <c r="J222" s="664"/>
      <c r="K222" s="664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08" t="s">
        <v>1100</v>
      </c>
      <c r="B223" s="708" t="s">
        <v>1101</v>
      </c>
      <c r="C223" s="710">
        <v>-1063891</v>
      </c>
      <c r="D223" s="710">
        <v>0</v>
      </c>
      <c r="E223" s="710">
        <v>-1063891</v>
      </c>
      <c r="F223" s="708" t="s">
        <v>2226</v>
      </c>
      <c r="G223" s="708" t="s">
        <v>1101</v>
      </c>
      <c r="H223" s="664"/>
      <c r="I223" s="663"/>
      <c r="J223" s="663"/>
      <c r="K223" s="663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08" t="s">
        <v>1368</v>
      </c>
      <c r="B224" s="708" t="s">
        <v>1369</v>
      </c>
      <c r="C224" s="710">
        <v>-950000</v>
      </c>
      <c r="D224" s="710">
        <v>0</v>
      </c>
      <c r="E224" s="710">
        <v>-950000</v>
      </c>
      <c r="F224" s="708" t="s">
        <v>2226</v>
      </c>
      <c r="G224" s="708" t="s">
        <v>2247</v>
      </c>
      <c r="H224" s="664"/>
      <c r="I224" s="663"/>
      <c r="J224" s="663"/>
      <c r="K224" s="663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08" t="s">
        <v>1711</v>
      </c>
      <c r="B225" s="708" t="s">
        <v>378</v>
      </c>
      <c r="C225" s="709">
        <v>-321037.24</v>
      </c>
      <c r="D225" s="709">
        <v>-3419.68</v>
      </c>
      <c r="E225" s="709">
        <v>-324456.92</v>
      </c>
      <c r="F225" s="708" t="s">
        <v>2226</v>
      </c>
      <c r="G225" s="708" t="s">
        <v>378</v>
      </c>
      <c r="H225" s="709"/>
      <c r="I225" s="710"/>
      <c r="J225" s="710"/>
      <c r="K225" s="71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08" t="s">
        <v>1663</v>
      </c>
      <c r="B226" s="708" t="s">
        <v>379</v>
      </c>
      <c r="C226" s="709">
        <v>-11946.42</v>
      </c>
      <c r="D226" s="709">
        <v>-122.14</v>
      </c>
      <c r="E226" s="709">
        <v>-12068.56</v>
      </c>
      <c r="F226" s="708" t="s">
        <v>2226</v>
      </c>
      <c r="G226" s="708" t="s">
        <v>379</v>
      </c>
      <c r="H226" s="709"/>
      <c r="I226" s="710"/>
      <c r="J226" s="710"/>
      <c r="K226" s="71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08" t="s">
        <v>1688</v>
      </c>
      <c r="B227" s="708" t="s">
        <v>1689</v>
      </c>
      <c r="C227" s="709">
        <v>-189932.77</v>
      </c>
      <c r="D227" s="709">
        <v>-2545.56</v>
      </c>
      <c r="E227" s="709">
        <v>-192478.33</v>
      </c>
      <c r="F227" s="708" t="s">
        <v>2226</v>
      </c>
      <c r="G227" s="708" t="s">
        <v>1689</v>
      </c>
      <c r="H227" s="709"/>
      <c r="I227" s="710"/>
      <c r="J227" s="710"/>
      <c r="K227" s="71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08" t="s">
        <v>1206</v>
      </c>
      <c r="B228" s="708" t="s">
        <v>1207</v>
      </c>
      <c r="C228" s="709">
        <v>-46287.02</v>
      </c>
      <c r="D228" s="709">
        <v>-567.54</v>
      </c>
      <c r="E228" s="709">
        <v>-46854.559999999998</v>
      </c>
      <c r="F228" s="708" t="s">
        <v>2226</v>
      </c>
      <c r="G228" s="708" t="s">
        <v>1207</v>
      </c>
      <c r="H228" s="709"/>
      <c r="I228" s="710"/>
      <c r="J228" s="710"/>
      <c r="K228" s="71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08" t="s">
        <v>1789</v>
      </c>
      <c r="B229" s="708" t="s">
        <v>1790</v>
      </c>
      <c r="C229" s="710">
        <v>-146738.21</v>
      </c>
      <c r="D229" s="710">
        <v>4796.16</v>
      </c>
      <c r="E229" s="710">
        <v>-141942.04999999999</v>
      </c>
      <c r="F229" s="708" t="s">
        <v>2226</v>
      </c>
      <c r="G229" s="708" t="s">
        <v>1790</v>
      </c>
      <c r="H229" s="664"/>
      <c r="I229" s="664"/>
      <c r="J229" s="664"/>
      <c r="K229" s="664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08" t="s">
        <v>1617</v>
      </c>
      <c r="B230" s="708" t="s">
        <v>367</v>
      </c>
      <c r="C230" s="710">
        <v>-2144.98</v>
      </c>
      <c r="D230" s="710">
        <v>0</v>
      </c>
      <c r="E230" s="710">
        <v>-2144.98</v>
      </c>
      <c r="F230" s="708" t="s">
        <v>2226</v>
      </c>
      <c r="G230" s="708" t="s">
        <v>367</v>
      </c>
      <c r="H230" s="664"/>
      <c r="I230" s="663"/>
      <c r="J230" s="663"/>
      <c r="K230" s="663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08" t="s">
        <v>1130</v>
      </c>
      <c r="B231" s="708" t="s">
        <v>467</v>
      </c>
      <c r="C231" s="709">
        <v>-482939.79</v>
      </c>
      <c r="D231" s="709">
        <v>-8951.08</v>
      </c>
      <c r="E231" s="709">
        <v>-491890.87</v>
      </c>
      <c r="F231" s="708" t="s">
        <v>2226</v>
      </c>
      <c r="G231" s="708" t="s">
        <v>467</v>
      </c>
      <c r="H231" s="709"/>
      <c r="I231" s="710"/>
      <c r="J231" s="710"/>
      <c r="K231" s="71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08" t="s">
        <v>601</v>
      </c>
      <c r="B232" s="708" t="s">
        <v>356</v>
      </c>
      <c r="C232" s="710">
        <v>-4390685.5999999996</v>
      </c>
      <c r="D232" s="710">
        <v>0</v>
      </c>
      <c r="E232" s="710">
        <v>-4390685.5999999996</v>
      </c>
      <c r="F232" s="708" t="s">
        <v>2227</v>
      </c>
      <c r="G232" s="708" t="s">
        <v>356</v>
      </c>
      <c r="H232" s="664"/>
      <c r="I232" s="663"/>
      <c r="J232" s="663"/>
      <c r="K232" s="663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08" t="s">
        <v>602</v>
      </c>
      <c r="B233" s="708" t="s">
        <v>357</v>
      </c>
      <c r="C233" s="710">
        <v>-1571712.62</v>
      </c>
      <c r="D233" s="710">
        <v>0</v>
      </c>
      <c r="E233" s="710">
        <v>-1571712.62</v>
      </c>
      <c r="F233" s="708" t="s">
        <v>2227</v>
      </c>
      <c r="G233" s="708" t="s">
        <v>357</v>
      </c>
      <c r="H233" s="664"/>
      <c r="I233" s="663"/>
      <c r="J233" s="663"/>
      <c r="K233" s="663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08" t="s">
        <v>2385</v>
      </c>
      <c r="B234" s="708" t="s">
        <v>2386</v>
      </c>
      <c r="C234" s="709">
        <v>-821412.58</v>
      </c>
      <c r="D234" s="709">
        <v>-88029.89</v>
      </c>
      <c r="E234" s="709">
        <v>-909442.47</v>
      </c>
      <c r="F234" s="708" t="s">
        <v>2006</v>
      </c>
      <c r="G234" s="708" t="s">
        <v>2386</v>
      </c>
      <c r="H234" s="709"/>
      <c r="I234" s="710"/>
      <c r="J234" s="710"/>
      <c r="K234" s="71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08" t="s">
        <v>2340</v>
      </c>
      <c r="B235" s="708" t="s">
        <v>2341</v>
      </c>
      <c r="C235" s="710">
        <v>-1463036.45</v>
      </c>
      <c r="D235" s="710">
        <v>-117873.45</v>
      </c>
      <c r="E235" s="710">
        <v>-1580909.9</v>
      </c>
      <c r="F235" s="708" t="s">
        <v>2006</v>
      </c>
      <c r="G235" s="708" t="s">
        <v>2341</v>
      </c>
      <c r="H235" s="664"/>
      <c r="I235" s="663"/>
      <c r="J235" s="663"/>
      <c r="K235" s="663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08" t="s">
        <v>2406</v>
      </c>
      <c r="B236" s="708" t="s">
        <v>2407</v>
      </c>
      <c r="C236" s="710">
        <v>-141173.5</v>
      </c>
      <c r="D236" s="710">
        <v>0</v>
      </c>
      <c r="E236" s="710">
        <v>-141173.5</v>
      </c>
      <c r="F236" s="708" t="s">
        <v>2006</v>
      </c>
      <c r="G236" s="708" t="s">
        <v>2407</v>
      </c>
      <c r="H236" s="664"/>
      <c r="I236" s="663"/>
      <c r="J236" s="663"/>
      <c r="K236" s="663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08" t="s">
        <v>2342</v>
      </c>
      <c r="B237" s="708" t="s">
        <v>2343</v>
      </c>
      <c r="C237" s="710">
        <v>-268581.5</v>
      </c>
      <c r="D237" s="710">
        <v>-91898.5</v>
      </c>
      <c r="E237" s="710">
        <v>-360480</v>
      </c>
      <c r="F237" s="708" t="s">
        <v>2006</v>
      </c>
      <c r="G237" s="708" t="s">
        <v>2343</v>
      </c>
      <c r="H237" s="657"/>
      <c r="I237" s="656"/>
      <c r="J237" s="656"/>
      <c r="K237" s="656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08" t="s">
        <v>2344</v>
      </c>
      <c r="B238" s="708" t="s">
        <v>2345</v>
      </c>
      <c r="C238" s="710">
        <v>-888590.77</v>
      </c>
      <c r="D238" s="710">
        <v>-77738.5</v>
      </c>
      <c r="E238" s="710">
        <v>-966329.27</v>
      </c>
      <c r="F238" s="708" t="s">
        <v>2006</v>
      </c>
      <c r="G238" s="708" t="s">
        <v>2345</v>
      </c>
      <c r="H238" s="664"/>
      <c r="I238" s="663"/>
      <c r="J238" s="663"/>
      <c r="K238" s="663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08" t="s">
        <v>1370</v>
      </c>
      <c r="B239" s="708" t="s">
        <v>605</v>
      </c>
      <c r="C239" s="710">
        <v>-295293.19</v>
      </c>
      <c r="D239" s="710">
        <v>0</v>
      </c>
      <c r="E239" s="710">
        <v>-295293.19</v>
      </c>
      <c r="F239" s="708" t="s">
        <v>2006</v>
      </c>
      <c r="G239" s="708" t="s">
        <v>605</v>
      </c>
      <c r="H239" s="664"/>
      <c r="I239" s="663"/>
      <c r="J239" s="663"/>
      <c r="K239" s="663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08" t="s">
        <v>1371</v>
      </c>
      <c r="B240" s="708" t="s">
        <v>606</v>
      </c>
      <c r="C240" s="709">
        <v>-257446.5</v>
      </c>
      <c r="D240" s="709">
        <v>-93971.5</v>
      </c>
      <c r="E240" s="709">
        <v>-351418</v>
      </c>
      <c r="F240" s="708" t="s">
        <v>2006</v>
      </c>
      <c r="G240" s="708" t="s">
        <v>606</v>
      </c>
      <c r="H240" s="709"/>
      <c r="I240" s="710"/>
      <c r="J240" s="710"/>
      <c r="K240" s="71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08" t="s">
        <v>1861</v>
      </c>
      <c r="B241" s="708" t="s">
        <v>607</v>
      </c>
      <c r="C241" s="709">
        <v>-158043.97</v>
      </c>
      <c r="D241" s="709">
        <v>0</v>
      </c>
      <c r="E241" s="709">
        <v>-158043.97</v>
      </c>
      <c r="F241" s="708" t="s">
        <v>2006</v>
      </c>
      <c r="G241" s="708" t="s">
        <v>607</v>
      </c>
      <c r="H241" s="709"/>
      <c r="I241" s="710"/>
      <c r="J241" s="710"/>
      <c r="K241" s="71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2" t="s">
        <v>2361</v>
      </c>
      <c r="B242" s="662" t="s">
        <v>2362</v>
      </c>
      <c r="C242" s="663">
        <v>-237317</v>
      </c>
      <c r="D242" s="663">
        <v>0</v>
      </c>
      <c r="E242" s="663">
        <v>-237317</v>
      </c>
      <c r="F242" s="662" t="s">
        <v>2006</v>
      </c>
      <c r="G242" s="662" t="s">
        <v>2362</v>
      </c>
      <c r="H242" s="657"/>
      <c r="I242" s="656"/>
      <c r="J242" s="656"/>
      <c r="K242" s="656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2" t="s">
        <v>1982</v>
      </c>
      <c r="B243" s="662" t="s">
        <v>1983</v>
      </c>
      <c r="C243" s="663">
        <v>-393784</v>
      </c>
      <c r="D243" s="663">
        <v>0</v>
      </c>
      <c r="E243" s="663">
        <v>-393784</v>
      </c>
      <c r="F243" s="662" t="s">
        <v>2006</v>
      </c>
      <c r="G243" s="662" t="s">
        <v>1983</v>
      </c>
      <c r="H243" s="657"/>
      <c r="I243" s="656"/>
      <c r="J243" s="656"/>
      <c r="K243" s="656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2" t="s">
        <v>2027</v>
      </c>
      <c r="B244" s="662" t="s">
        <v>2028</v>
      </c>
      <c r="C244" s="663">
        <v>-243060</v>
      </c>
      <c r="D244" s="663">
        <v>0</v>
      </c>
      <c r="E244" s="663">
        <v>-243060</v>
      </c>
      <c r="F244" s="662" t="s">
        <v>2006</v>
      </c>
      <c r="G244" s="662" t="s">
        <v>2028</v>
      </c>
      <c r="H244" s="657"/>
      <c r="I244" s="656"/>
      <c r="J244" s="656"/>
      <c r="K244" s="656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2" t="s">
        <v>1373</v>
      </c>
      <c r="B245" s="662" t="s">
        <v>610</v>
      </c>
      <c r="C245" s="663">
        <v>-256904.45</v>
      </c>
      <c r="D245" s="663">
        <v>0</v>
      </c>
      <c r="E245" s="663">
        <v>-256904.45</v>
      </c>
      <c r="F245" s="662" t="s">
        <v>2006</v>
      </c>
      <c r="G245" s="662" t="s">
        <v>610</v>
      </c>
      <c r="H245" s="657"/>
      <c r="I245" s="656"/>
      <c r="J245" s="656"/>
      <c r="K245" s="656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2" t="s">
        <v>2378</v>
      </c>
      <c r="B246" s="662" t="s">
        <v>2379</v>
      </c>
      <c r="C246" s="663">
        <v>-112273</v>
      </c>
      <c r="D246" s="663">
        <v>-107603.5</v>
      </c>
      <c r="E246" s="663">
        <v>-219876.5</v>
      </c>
      <c r="F246" s="662" t="s">
        <v>2006</v>
      </c>
      <c r="G246" s="662" t="s">
        <v>2379</v>
      </c>
      <c r="H246" s="657"/>
      <c r="I246" s="656"/>
      <c r="J246" s="656"/>
      <c r="K246" s="656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2" t="s">
        <v>1375</v>
      </c>
      <c r="B247" s="662" t="s">
        <v>1376</v>
      </c>
      <c r="C247" s="663">
        <v>-157105.29999999999</v>
      </c>
      <c r="D247" s="663">
        <v>0</v>
      </c>
      <c r="E247" s="663">
        <v>-157105.29999999999</v>
      </c>
      <c r="F247" s="662" t="s">
        <v>2006</v>
      </c>
      <c r="G247" s="662" t="s">
        <v>1376</v>
      </c>
      <c r="H247" s="657"/>
      <c r="I247" s="656"/>
      <c r="J247" s="656"/>
      <c r="K247" s="656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08" t="s">
        <v>2029</v>
      </c>
      <c r="B248" s="708" t="s">
        <v>2030</v>
      </c>
      <c r="C248" s="710">
        <v>-109948.5</v>
      </c>
      <c r="D248" s="710">
        <v>0</v>
      </c>
      <c r="E248" s="710">
        <v>-109948.5</v>
      </c>
      <c r="F248" s="708" t="s">
        <v>2006</v>
      </c>
      <c r="G248" s="708" t="s">
        <v>2030</v>
      </c>
      <c r="H248" s="664"/>
      <c r="I248" s="663"/>
      <c r="J248" s="663"/>
      <c r="K248" s="663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08" t="s">
        <v>2363</v>
      </c>
      <c r="B249" s="708" t="s">
        <v>2364</v>
      </c>
      <c r="C249" s="710">
        <v>-212158</v>
      </c>
      <c r="D249" s="710">
        <v>0</v>
      </c>
      <c r="E249" s="710">
        <v>-212158</v>
      </c>
      <c r="F249" s="708" t="s">
        <v>2006</v>
      </c>
      <c r="G249" s="708" t="s">
        <v>2484</v>
      </c>
      <c r="H249" s="664"/>
      <c r="I249" s="663"/>
      <c r="J249" s="663"/>
      <c r="K249" s="663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2" t="s">
        <v>1089</v>
      </c>
      <c r="B250" s="662" t="s">
        <v>612</v>
      </c>
      <c r="C250" s="663">
        <v>-236563.02</v>
      </c>
      <c r="D250" s="663">
        <v>0</v>
      </c>
      <c r="E250" s="663">
        <v>-236563.02</v>
      </c>
      <c r="F250" s="662" t="s">
        <v>2006</v>
      </c>
      <c r="G250" s="662" t="s">
        <v>612</v>
      </c>
      <c r="H250" s="657"/>
      <c r="I250" s="656"/>
      <c r="J250" s="656"/>
      <c r="K250" s="656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08" t="s">
        <v>1924</v>
      </c>
      <c r="B251" s="708" t="s">
        <v>1925</v>
      </c>
      <c r="C251" s="709">
        <v>-387793.5</v>
      </c>
      <c r="D251" s="709">
        <v>0</v>
      </c>
      <c r="E251" s="709">
        <v>-387793.5</v>
      </c>
      <c r="F251" s="708" t="s">
        <v>2006</v>
      </c>
      <c r="G251" s="708" t="s">
        <v>1925</v>
      </c>
      <c r="H251" s="709"/>
      <c r="I251" s="710"/>
      <c r="J251" s="710"/>
      <c r="K251" s="71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08" t="s">
        <v>1081</v>
      </c>
      <c r="B252" s="708" t="s">
        <v>410</v>
      </c>
      <c r="C252" s="710">
        <v>-214684.3</v>
      </c>
      <c r="D252" s="710">
        <v>-167320.24</v>
      </c>
      <c r="E252" s="710">
        <v>-382004.54</v>
      </c>
      <c r="F252" s="708" t="s">
        <v>2006</v>
      </c>
      <c r="G252" s="708" t="s">
        <v>410</v>
      </c>
      <c r="H252" s="657"/>
      <c r="I252" s="656"/>
      <c r="J252" s="656"/>
      <c r="K252" s="656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08" t="s">
        <v>1380</v>
      </c>
      <c r="B253" s="708" t="s">
        <v>614</v>
      </c>
      <c r="C253" s="710">
        <v>-107313.87</v>
      </c>
      <c r="D253" s="710">
        <v>0</v>
      </c>
      <c r="E253" s="710">
        <v>-107313.87</v>
      </c>
      <c r="F253" s="708" t="s">
        <v>2006</v>
      </c>
      <c r="G253" s="708" t="s">
        <v>2460</v>
      </c>
      <c r="H253" s="664"/>
      <c r="I253" s="663"/>
      <c r="J253" s="663"/>
      <c r="K253" s="663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08" t="s">
        <v>1094</v>
      </c>
      <c r="B254" s="708" t="s">
        <v>616</v>
      </c>
      <c r="C254" s="710">
        <v>-711675.73</v>
      </c>
      <c r="D254" s="710">
        <v>-101293</v>
      </c>
      <c r="E254" s="710">
        <v>-812968.73</v>
      </c>
      <c r="F254" s="708" t="s">
        <v>2006</v>
      </c>
      <c r="G254" s="708" t="s">
        <v>616</v>
      </c>
      <c r="H254" s="664"/>
      <c r="I254" s="663"/>
      <c r="J254" s="663"/>
      <c r="K254" s="663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08" t="s">
        <v>1382</v>
      </c>
      <c r="B255" s="708" t="s">
        <v>409</v>
      </c>
      <c r="C255" s="710">
        <v>-755376.13</v>
      </c>
      <c r="D255" s="710">
        <v>0</v>
      </c>
      <c r="E255" s="710">
        <v>-755376.13</v>
      </c>
      <c r="F255" s="708" t="s">
        <v>2006</v>
      </c>
      <c r="G255" s="708" t="s">
        <v>616</v>
      </c>
      <c r="H255" s="664"/>
      <c r="I255" s="663"/>
      <c r="J255" s="663"/>
      <c r="K255" s="663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08" t="s">
        <v>1383</v>
      </c>
      <c r="B256" s="708" t="s">
        <v>423</v>
      </c>
      <c r="C256" s="710">
        <v>-55661.35</v>
      </c>
      <c r="D256" s="710">
        <v>-165986.65</v>
      </c>
      <c r="E256" s="710">
        <v>-221648</v>
      </c>
      <c r="F256" s="708" t="s">
        <v>2006</v>
      </c>
      <c r="G256" s="708" t="s">
        <v>423</v>
      </c>
      <c r="H256" s="657"/>
      <c r="I256" s="656"/>
      <c r="J256" s="656"/>
      <c r="K256" s="656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08" t="s">
        <v>1384</v>
      </c>
      <c r="B257" s="708" t="s">
        <v>412</v>
      </c>
      <c r="C257" s="709">
        <v>-558508.5</v>
      </c>
      <c r="D257" s="709">
        <v>1500</v>
      </c>
      <c r="E257" s="709">
        <v>-557008.5</v>
      </c>
      <c r="F257" s="708" t="s">
        <v>2006</v>
      </c>
      <c r="G257" s="708" t="s">
        <v>412</v>
      </c>
      <c r="H257" s="709"/>
      <c r="I257" s="710"/>
      <c r="J257" s="710"/>
      <c r="K257" s="71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08" t="s">
        <v>1385</v>
      </c>
      <c r="B258" s="708" t="s">
        <v>419</v>
      </c>
      <c r="C258" s="710">
        <v>-392771.25</v>
      </c>
      <c r="D258" s="710">
        <v>0</v>
      </c>
      <c r="E258" s="710">
        <v>-392771.25</v>
      </c>
      <c r="F258" s="708" t="s">
        <v>2006</v>
      </c>
      <c r="G258" s="708" t="s">
        <v>419</v>
      </c>
      <c r="H258" s="664"/>
      <c r="I258" s="663"/>
      <c r="J258" s="663"/>
      <c r="K258" s="663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08" t="s">
        <v>2387</v>
      </c>
      <c r="B259" s="708" t="s">
        <v>2388</v>
      </c>
      <c r="C259" s="710">
        <v>-239923.9</v>
      </c>
      <c r="D259" s="710">
        <v>0</v>
      </c>
      <c r="E259" s="710">
        <v>-239923.9</v>
      </c>
      <c r="F259" s="708" t="s">
        <v>2006</v>
      </c>
      <c r="G259" s="708" t="s">
        <v>2388</v>
      </c>
      <c r="H259" s="664"/>
      <c r="I259" s="663"/>
      <c r="J259" s="663"/>
      <c r="K259" s="663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08" t="s">
        <v>2431</v>
      </c>
      <c r="B260" s="708" t="s">
        <v>402</v>
      </c>
      <c r="C260" s="710">
        <v>-1438574.84</v>
      </c>
      <c r="D260" s="710">
        <v>-140386.16</v>
      </c>
      <c r="E260" s="710">
        <v>-1578961</v>
      </c>
      <c r="F260" s="708" t="s">
        <v>2006</v>
      </c>
      <c r="G260" s="708" t="s">
        <v>402</v>
      </c>
      <c r="H260" s="657"/>
      <c r="I260" s="656"/>
      <c r="J260" s="656"/>
      <c r="K260" s="656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08" t="s">
        <v>1386</v>
      </c>
      <c r="B261" s="708" t="s">
        <v>617</v>
      </c>
      <c r="C261" s="710">
        <v>-1110477.17</v>
      </c>
      <c r="D261" s="710">
        <v>-163885.34</v>
      </c>
      <c r="E261" s="710">
        <v>-1274362.51</v>
      </c>
      <c r="F261" s="708" t="s">
        <v>2006</v>
      </c>
      <c r="G261" s="708" t="s">
        <v>617</v>
      </c>
      <c r="H261" s="664"/>
      <c r="I261" s="663"/>
      <c r="J261" s="663"/>
      <c r="K261" s="663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2" t="s">
        <v>1077</v>
      </c>
      <c r="B262" s="662" t="s">
        <v>618</v>
      </c>
      <c r="C262" s="663">
        <v>-950404.6</v>
      </c>
      <c r="D262" s="663">
        <v>-82793.97</v>
      </c>
      <c r="E262" s="663">
        <v>-1033198.57</v>
      </c>
      <c r="F262" s="662" t="s">
        <v>2006</v>
      </c>
      <c r="G262" s="662" t="s">
        <v>618</v>
      </c>
      <c r="H262" s="657"/>
      <c r="I262" s="656"/>
      <c r="J262" s="656"/>
      <c r="K262" s="656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08" t="s">
        <v>2031</v>
      </c>
      <c r="B263" s="708" t="s">
        <v>2032</v>
      </c>
      <c r="C263" s="710">
        <v>-113429.5</v>
      </c>
      <c r="D263" s="710">
        <v>0</v>
      </c>
      <c r="E263" s="710">
        <v>-113429.5</v>
      </c>
      <c r="F263" s="708" t="s">
        <v>2006</v>
      </c>
      <c r="G263" s="708" t="s">
        <v>2032</v>
      </c>
      <c r="H263" s="664"/>
      <c r="I263" s="663"/>
      <c r="J263" s="663"/>
      <c r="K263" s="663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08" t="s">
        <v>1387</v>
      </c>
      <c r="B264" s="708" t="s">
        <v>619</v>
      </c>
      <c r="C264" s="709">
        <v>-478418</v>
      </c>
      <c r="D264" s="709">
        <v>0</v>
      </c>
      <c r="E264" s="709">
        <v>-478418</v>
      </c>
      <c r="F264" s="708" t="s">
        <v>2006</v>
      </c>
      <c r="G264" s="708" t="s">
        <v>619</v>
      </c>
      <c r="H264" s="709"/>
      <c r="I264" s="710"/>
      <c r="J264" s="710"/>
      <c r="K264" s="71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08" t="s">
        <v>620</v>
      </c>
      <c r="B265" s="708" t="s">
        <v>621</v>
      </c>
      <c r="C265" s="710">
        <v>-1215300.18</v>
      </c>
      <c r="D265" s="710">
        <v>0</v>
      </c>
      <c r="E265" s="710">
        <v>-1215300.18</v>
      </c>
      <c r="F265" s="708" t="s">
        <v>2006</v>
      </c>
      <c r="G265" s="708" t="s">
        <v>2466</v>
      </c>
      <c r="H265" s="657"/>
      <c r="I265" s="656"/>
      <c r="J265" s="656"/>
      <c r="K265" s="656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08" t="s">
        <v>1863</v>
      </c>
      <c r="B266" s="708" t="s">
        <v>622</v>
      </c>
      <c r="C266" s="710">
        <v>-77894.5</v>
      </c>
      <c r="D266" s="710">
        <v>0</v>
      </c>
      <c r="E266" s="710">
        <v>-77894.5</v>
      </c>
      <c r="F266" s="708" t="s">
        <v>2006</v>
      </c>
      <c r="G266" s="708" t="s">
        <v>622</v>
      </c>
      <c r="H266" s="664"/>
      <c r="I266" s="664"/>
      <c r="J266" s="664"/>
      <c r="K266" s="664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08" t="s">
        <v>2461</v>
      </c>
      <c r="B267" s="708" t="s">
        <v>624</v>
      </c>
      <c r="C267" s="710">
        <v>-289461.17</v>
      </c>
      <c r="D267" s="710">
        <v>0</v>
      </c>
      <c r="E267" s="710">
        <v>-289461.17</v>
      </c>
      <c r="F267" s="708" t="s">
        <v>2006</v>
      </c>
      <c r="G267" s="708" t="s">
        <v>624</v>
      </c>
      <c r="H267" s="664"/>
      <c r="I267" s="663"/>
      <c r="J267" s="663"/>
      <c r="K267" s="663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08" t="s">
        <v>1024</v>
      </c>
      <c r="B268" s="708" t="s">
        <v>407</v>
      </c>
      <c r="C268" s="710">
        <v>-170340.07</v>
      </c>
      <c r="D268" s="710">
        <v>0</v>
      </c>
      <c r="E268" s="710">
        <v>-170340.07</v>
      </c>
      <c r="F268" s="708" t="s">
        <v>2006</v>
      </c>
      <c r="G268" s="708" t="s">
        <v>407</v>
      </c>
      <c r="H268" s="664"/>
      <c r="I268" s="664"/>
      <c r="J268" s="664"/>
      <c r="K268" s="664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08" t="s">
        <v>1864</v>
      </c>
      <c r="B269" s="708" t="s">
        <v>625</v>
      </c>
      <c r="C269" s="710">
        <v>-267348.5</v>
      </c>
      <c r="D269" s="710">
        <v>0</v>
      </c>
      <c r="E269" s="710">
        <v>-267348.5</v>
      </c>
      <c r="F269" s="708" t="s">
        <v>2006</v>
      </c>
      <c r="G269" s="708" t="s">
        <v>625</v>
      </c>
      <c r="H269" s="664"/>
      <c r="I269" s="663"/>
      <c r="J269" s="663"/>
      <c r="K269" s="663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08" t="s">
        <v>1136</v>
      </c>
      <c r="B270" s="708" t="s">
        <v>1014</v>
      </c>
      <c r="C270" s="709">
        <v>-98411.95</v>
      </c>
      <c r="D270" s="709">
        <v>-6638</v>
      </c>
      <c r="E270" s="709">
        <v>-105049.95</v>
      </c>
      <c r="F270" s="708" t="s">
        <v>2006</v>
      </c>
      <c r="G270" s="708" t="s">
        <v>625</v>
      </c>
      <c r="H270" s="709"/>
      <c r="I270" s="710"/>
      <c r="J270" s="710"/>
      <c r="K270" s="71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7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08" t="s">
        <v>1390</v>
      </c>
      <c r="B271" s="708" t="s">
        <v>1016</v>
      </c>
      <c r="C271" s="709">
        <v>-39954.6</v>
      </c>
      <c r="D271" s="709">
        <v>-499</v>
      </c>
      <c r="E271" s="709">
        <v>-40453.599999999999</v>
      </c>
      <c r="F271" s="708" t="s">
        <v>2006</v>
      </c>
      <c r="G271" s="708" t="s">
        <v>625</v>
      </c>
      <c r="H271" s="709"/>
      <c r="I271" s="710"/>
      <c r="J271" s="710"/>
      <c r="K271" s="71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7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08" t="s">
        <v>1164</v>
      </c>
      <c r="B272" s="708" t="s">
        <v>1165</v>
      </c>
      <c r="C272" s="710">
        <v>-137804</v>
      </c>
      <c r="D272" s="710">
        <v>-12130</v>
      </c>
      <c r="E272" s="710">
        <v>-149934</v>
      </c>
      <c r="F272" s="708" t="s">
        <v>2006</v>
      </c>
      <c r="G272" s="708" t="s">
        <v>625</v>
      </c>
      <c r="H272" s="664"/>
      <c r="I272" s="663"/>
      <c r="J272" s="663"/>
      <c r="K272" s="663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7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08" t="s">
        <v>1391</v>
      </c>
      <c r="B273" s="708" t="s">
        <v>1392</v>
      </c>
      <c r="C273" s="709">
        <v>-17063.810000000001</v>
      </c>
      <c r="D273" s="709">
        <v>-1737.66</v>
      </c>
      <c r="E273" s="709">
        <v>-18801.47</v>
      </c>
      <c r="F273" s="708" t="s">
        <v>2006</v>
      </c>
      <c r="G273" s="708" t="s">
        <v>625</v>
      </c>
      <c r="H273" s="709"/>
      <c r="I273" s="710"/>
      <c r="J273" s="710"/>
      <c r="K273" s="71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7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08" t="s">
        <v>1198</v>
      </c>
      <c r="B274" s="708" t="s">
        <v>1199</v>
      </c>
      <c r="C274" s="710">
        <v>-2890</v>
      </c>
      <c r="D274" s="710">
        <v>0</v>
      </c>
      <c r="E274" s="710">
        <v>-2890</v>
      </c>
      <c r="F274" s="708" t="s">
        <v>2006</v>
      </c>
      <c r="G274" s="708" t="s">
        <v>625</v>
      </c>
      <c r="H274" s="664"/>
      <c r="I274" s="663"/>
      <c r="J274" s="663"/>
      <c r="K274" s="663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7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2" t="s">
        <v>1121</v>
      </c>
      <c r="B275" s="662" t="s">
        <v>1122</v>
      </c>
      <c r="C275" s="663">
        <v>-87249</v>
      </c>
      <c r="D275" s="663">
        <v>-6796</v>
      </c>
      <c r="E275" s="663">
        <v>-94045</v>
      </c>
      <c r="F275" s="662" t="s">
        <v>2006</v>
      </c>
      <c r="G275" s="662" t="s">
        <v>625</v>
      </c>
      <c r="H275" s="657"/>
      <c r="I275" s="656"/>
      <c r="J275" s="656"/>
      <c r="K275" s="656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7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08" t="s">
        <v>1394</v>
      </c>
      <c r="B276" s="708" t="s">
        <v>626</v>
      </c>
      <c r="C276" s="710">
        <v>-66643.5</v>
      </c>
      <c r="D276" s="710">
        <v>0</v>
      </c>
      <c r="E276" s="710">
        <v>-66643.5</v>
      </c>
      <c r="F276" s="708" t="s">
        <v>2006</v>
      </c>
      <c r="G276" s="708" t="s">
        <v>626</v>
      </c>
      <c r="H276" s="664"/>
      <c r="I276" s="663"/>
      <c r="J276" s="663"/>
      <c r="K276" s="663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7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2" t="s">
        <v>2053</v>
      </c>
      <c r="B277" s="662" t="s">
        <v>2011</v>
      </c>
      <c r="C277" s="663">
        <v>-409977.02</v>
      </c>
      <c r="D277" s="663">
        <v>0</v>
      </c>
      <c r="E277" s="663">
        <v>-409977.02</v>
      </c>
      <c r="F277" s="662" t="s">
        <v>2006</v>
      </c>
      <c r="G277" s="662" t="s">
        <v>2011</v>
      </c>
      <c r="H277" s="657"/>
      <c r="I277" s="656"/>
      <c r="J277" s="656"/>
      <c r="K277" s="656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7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2" t="s">
        <v>1126</v>
      </c>
      <c r="B278" s="662" t="s">
        <v>627</v>
      </c>
      <c r="C278" s="663">
        <v>-91547</v>
      </c>
      <c r="D278" s="663">
        <v>-16684.939999999999</v>
      </c>
      <c r="E278" s="663">
        <v>-108231.94</v>
      </c>
      <c r="F278" s="662" t="s">
        <v>2006</v>
      </c>
      <c r="G278" s="662" t="s">
        <v>2011</v>
      </c>
      <c r="H278" s="657"/>
      <c r="I278" s="656"/>
      <c r="J278" s="656"/>
      <c r="K278" s="656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7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08" t="s">
        <v>2094</v>
      </c>
      <c r="B279" s="708" t="s">
        <v>2093</v>
      </c>
      <c r="C279" s="710">
        <v>-2160</v>
      </c>
      <c r="D279" s="710">
        <v>-780</v>
      </c>
      <c r="E279" s="710">
        <v>-2940</v>
      </c>
      <c r="F279" s="708" t="s">
        <v>2006</v>
      </c>
      <c r="G279" s="708" t="s">
        <v>2359</v>
      </c>
      <c r="H279" s="657"/>
      <c r="I279" s="656"/>
      <c r="J279" s="656"/>
      <c r="K279" s="656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7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08" t="s">
        <v>1091</v>
      </c>
      <c r="B280" s="708" t="s">
        <v>420</v>
      </c>
      <c r="C280" s="710">
        <v>-1081021.71</v>
      </c>
      <c r="D280" s="710">
        <v>-54700.95</v>
      </c>
      <c r="E280" s="710">
        <v>-1135722.6599999999</v>
      </c>
      <c r="F280" s="708" t="s">
        <v>2006</v>
      </c>
      <c r="G280" s="708" t="s">
        <v>420</v>
      </c>
      <c r="H280" s="602"/>
      <c r="I280" s="601"/>
      <c r="J280" s="601"/>
      <c r="K280" s="601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7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08" t="s">
        <v>1395</v>
      </c>
      <c r="B281" s="708" t="s">
        <v>416</v>
      </c>
      <c r="C281" s="710">
        <v>-1114967.17</v>
      </c>
      <c r="D281" s="710">
        <v>-40264</v>
      </c>
      <c r="E281" s="710">
        <v>-1155231.17</v>
      </c>
      <c r="F281" s="708" t="s">
        <v>2006</v>
      </c>
      <c r="G281" s="708" t="s">
        <v>416</v>
      </c>
      <c r="H281" s="664"/>
      <c r="I281" s="663"/>
      <c r="J281" s="663"/>
      <c r="K281" s="663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7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08" t="s">
        <v>1082</v>
      </c>
      <c r="B282" s="708" t="s">
        <v>384</v>
      </c>
      <c r="C282" s="710">
        <v>-1898236.53</v>
      </c>
      <c r="D282" s="710">
        <v>-68663</v>
      </c>
      <c r="E282" s="710">
        <v>-1966899.53</v>
      </c>
      <c r="F282" s="708" t="s">
        <v>2006</v>
      </c>
      <c r="G282" s="708" t="s">
        <v>384</v>
      </c>
      <c r="H282" s="664"/>
      <c r="I282" s="663"/>
      <c r="J282" s="663"/>
      <c r="K282" s="663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7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08" t="s">
        <v>1071</v>
      </c>
      <c r="B283" s="708" t="s">
        <v>1072</v>
      </c>
      <c r="C283" s="710">
        <v>-1770318</v>
      </c>
      <c r="D283" s="710">
        <v>-118000</v>
      </c>
      <c r="E283" s="710">
        <v>-1888318</v>
      </c>
      <c r="F283" s="708" t="s">
        <v>2006</v>
      </c>
      <c r="G283" s="708" t="s">
        <v>1072</v>
      </c>
      <c r="H283" s="664"/>
      <c r="I283" s="663"/>
      <c r="J283" s="663"/>
      <c r="K283" s="663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7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08" t="s">
        <v>1070</v>
      </c>
      <c r="B284" s="708" t="s">
        <v>398</v>
      </c>
      <c r="C284" s="710">
        <v>-1980664.18</v>
      </c>
      <c r="D284" s="710">
        <v>-65500</v>
      </c>
      <c r="E284" s="710">
        <v>-2046164.18</v>
      </c>
      <c r="F284" s="708" t="s">
        <v>2006</v>
      </c>
      <c r="G284" s="708" t="s">
        <v>398</v>
      </c>
      <c r="H284" s="664"/>
      <c r="I284" s="663"/>
      <c r="J284" s="663"/>
      <c r="K284" s="663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7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08" t="s">
        <v>1076</v>
      </c>
      <c r="B285" s="708" t="s">
        <v>401</v>
      </c>
      <c r="C285" s="710">
        <v>-4070011.61</v>
      </c>
      <c r="D285" s="710">
        <v>-324910</v>
      </c>
      <c r="E285" s="710">
        <v>-4394921.6100000003</v>
      </c>
      <c r="F285" s="708" t="s">
        <v>2006</v>
      </c>
      <c r="G285" s="708" t="s">
        <v>401</v>
      </c>
      <c r="H285" s="664"/>
      <c r="I285" s="663"/>
      <c r="J285" s="663"/>
      <c r="K285" s="663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7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08" t="s">
        <v>1086</v>
      </c>
      <c r="B286" s="708" t="s">
        <v>418</v>
      </c>
      <c r="C286" s="710">
        <v>-2139375.09</v>
      </c>
      <c r="D286" s="710">
        <v>-93388</v>
      </c>
      <c r="E286" s="710">
        <v>-2232763.09</v>
      </c>
      <c r="F286" s="708" t="s">
        <v>2006</v>
      </c>
      <c r="G286" s="708" t="s">
        <v>418</v>
      </c>
      <c r="H286" s="664"/>
      <c r="I286" s="663"/>
      <c r="J286" s="663"/>
      <c r="K286" s="663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7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08" t="s">
        <v>1088</v>
      </c>
      <c r="B287" s="708" t="s">
        <v>404</v>
      </c>
      <c r="C287" s="710">
        <v>-782418.01</v>
      </c>
      <c r="D287" s="710">
        <v>-10500</v>
      </c>
      <c r="E287" s="710">
        <v>-792918.01</v>
      </c>
      <c r="F287" s="708" t="s">
        <v>2006</v>
      </c>
      <c r="G287" s="708" t="s">
        <v>404</v>
      </c>
      <c r="H287" s="664"/>
      <c r="I287" s="664"/>
      <c r="J287" s="664"/>
      <c r="K287" s="664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7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2" t="s">
        <v>628</v>
      </c>
      <c r="B288" s="662" t="s">
        <v>629</v>
      </c>
      <c r="C288" s="663">
        <v>-421579.31</v>
      </c>
      <c r="D288" s="663">
        <v>0</v>
      </c>
      <c r="E288" s="663">
        <v>-421579.31</v>
      </c>
      <c r="F288" s="662" t="s">
        <v>2006</v>
      </c>
      <c r="G288" s="662" t="s">
        <v>629</v>
      </c>
      <c r="H288" s="657"/>
      <c r="I288" s="656"/>
      <c r="J288" s="656"/>
      <c r="K288" s="656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7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08" t="s">
        <v>1396</v>
      </c>
      <c r="B289" s="708" t="s">
        <v>400</v>
      </c>
      <c r="C289" s="710">
        <v>-3678050.29</v>
      </c>
      <c r="D289" s="710">
        <v>-170638.24</v>
      </c>
      <c r="E289" s="710">
        <v>-3848688.53</v>
      </c>
      <c r="F289" s="708" t="s">
        <v>2006</v>
      </c>
      <c r="G289" s="708" t="s">
        <v>400</v>
      </c>
      <c r="H289" s="664"/>
      <c r="I289" s="663"/>
      <c r="J289" s="663"/>
      <c r="K289" s="663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7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08" t="s">
        <v>1186</v>
      </c>
      <c r="B290" s="708" t="s">
        <v>1012</v>
      </c>
      <c r="C290" s="709">
        <v>-19418</v>
      </c>
      <c r="D290" s="709">
        <v>-798</v>
      </c>
      <c r="E290" s="709">
        <v>-20216</v>
      </c>
      <c r="F290" s="708" t="s">
        <v>2006</v>
      </c>
      <c r="G290" s="708" t="s">
        <v>1012</v>
      </c>
      <c r="H290" s="709"/>
      <c r="I290" s="710"/>
      <c r="J290" s="710"/>
      <c r="K290" s="71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7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08" t="s">
        <v>994</v>
      </c>
      <c r="B291" s="708" t="s">
        <v>995</v>
      </c>
      <c r="C291" s="710">
        <v>-134371.43</v>
      </c>
      <c r="D291" s="710">
        <v>0</v>
      </c>
      <c r="E291" s="710">
        <v>-134371.43</v>
      </c>
      <c r="F291" s="708" t="s">
        <v>2006</v>
      </c>
      <c r="G291" s="708" t="s">
        <v>995</v>
      </c>
      <c r="H291" s="664"/>
      <c r="I291" s="664"/>
      <c r="J291" s="664"/>
      <c r="K291" s="664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7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08" t="s">
        <v>1398</v>
      </c>
      <c r="B292" s="708" t="s">
        <v>630</v>
      </c>
      <c r="C292" s="710">
        <v>-2156</v>
      </c>
      <c r="D292" s="710">
        <v>-2000</v>
      </c>
      <c r="E292" s="710">
        <v>-4156</v>
      </c>
      <c r="F292" s="708" t="s">
        <v>2006</v>
      </c>
      <c r="G292" s="708" t="s">
        <v>1012</v>
      </c>
      <c r="H292" s="664"/>
      <c r="I292" s="663"/>
      <c r="J292" s="663"/>
      <c r="K292" s="663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2" t="s">
        <v>1190</v>
      </c>
      <c r="B293" s="662" t="s">
        <v>1191</v>
      </c>
      <c r="C293" s="663">
        <v>-13545</v>
      </c>
      <c r="D293" s="663">
        <v>0</v>
      </c>
      <c r="E293" s="663">
        <v>-13545</v>
      </c>
      <c r="F293" s="662" t="s">
        <v>2006</v>
      </c>
      <c r="G293" s="662" t="s">
        <v>1012</v>
      </c>
      <c r="H293" s="657"/>
      <c r="I293" s="656"/>
      <c r="J293" s="656"/>
      <c r="K293" s="656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2" t="s">
        <v>1650</v>
      </c>
      <c r="B294" s="662" t="s">
        <v>437</v>
      </c>
      <c r="C294" s="663">
        <v>-51344.33</v>
      </c>
      <c r="D294" s="663">
        <v>-3691.04</v>
      </c>
      <c r="E294" s="663">
        <v>-55035.37</v>
      </c>
      <c r="F294" s="662" t="s">
        <v>2006</v>
      </c>
      <c r="G294" s="662" t="s">
        <v>1012</v>
      </c>
      <c r="H294" s="657"/>
      <c r="I294" s="656"/>
      <c r="J294" s="656"/>
      <c r="K294" s="656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2" t="s">
        <v>2012</v>
      </c>
      <c r="B295" s="662" t="s">
        <v>2013</v>
      </c>
      <c r="C295" s="663">
        <v>-3318</v>
      </c>
      <c r="D295" s="663">
        <v>0</v>
      </c>
      <c r="E295" s="663">
        <v>-3318</v>
      </c>
      <c r="F295" s="662" t="s">
        <v>2006</v>
      </c>
      <c r="G295" s="662" t="s">
        <v>1012</v>
      </c>
      <c r="H295" s="657"/>
      <c r="I295" s="656"/>
      <c r="J295" s="656"/>
      <c r="K295" s="656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08" t="s">
        <v>1407</v>
      </c>
      <c r="B296" s="708" t="s">
        <v>374</v>
      </c>
      <c r="C296" s="710">
        <v>-12329</v>
      </c>
      <c r="D296" s="710">
        <v>-399</v>
      </c>
      <c r="E296" s="710">
        <v>-12728</v>
      </c>
      <c r="F296" s="708" t="s">
        <v>2006</v>
      </c>
      <c r="G296" s="708" t="s">
        <v>374</v>
      </c>
      <c r="H296" s="657"/>
      <c r="I296" s="656"/>
      <c r="J296" s="656"/>
      <c r="K296" s="656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2" t="s">
        <v>2096</v>
      </c>
      <c r="B297" s="662" t="s">
        <v>2095</v>
      </c>
      <c r="C297" s="663">
        <v>-798</v>
      </c>
      <c r="D297" s="663">
        <v>0</v>
      </c>
      <c r="E297" s="663">
        <v>-798</v>
      </c>
      <c r="F297" s="662" t="s">
        <v>2006</v>
      </c>
      <c r="G297" s="662" t="s">
        <v>374</v>
      </c>
      <c r="H297" s="657"/>
      <c r="I297" s="656"/>
      <c r="J297" s="656"/>
      <c r="K297" s="656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08" t="s">
        <v>1105</v>
      </c>
      <c r="B298" s="708" t="s">
        <v>368</v>
      </c>
      <c r="C298" s="710">
        <v>-176254</v>
      </c>
      <c r="D298" s="710">
        <v>-21711</v>
      </c>
      <c r="E298" s="710">
        <v>-197965</v>
      </c>
      <c r="F298" s="708" t="s">
        <v>2006</v>
      </c>
      <c r="G298" s="708" t="s">
        <v>368</v>
      </c>
      <c r="H298" s="657"/>
      <c r="I298" s="656"/>
      <c r="J298" s="656"/>
      <c r="K298" s="656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08" t="s">
        <v>1410</v>
      </c>
      <c r="B299" s="708" t="s">
        <v>631</v>
      </c>
      <c r="C299" s="710">
        <v>-286429.05</v>
      </c>
      <c r="D299" s="710">
        <v>0</v>
      </c>
      <c r="E299" s="710">
        <v>-286429.05</v>
      </c>
      <c r="F299" s="708" t="s">
        <v>2006</v>
      </c>
      <c r="G299" s="708" t="s">
        <v>631</v>
      </c>
      <c r="H299" s="657"/>
      <c r="I299" s="656"/>
      <c r="J299" s="656"/>
      <c r="K299" s="656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08" t="s">
        <v>632</v>
      </c>
      <c r="B300" s="708" t="s">
        <v>633</v>
      </c>
      <c r="C300" s="710">
        <v>-341447.36</v>
      </c>
      <c r="D300" s="710">
        <v>0</v>
      </c>
      <c r="E300" s="710">
        <v>-341447.36</v>
      </c>
      <c r="F300" s="708" t="s">
        <v>2006</v>
      </c>
      <c r="G300" s="708" t="s">
        <v>633</v>
      </c>
      <c r="H300" s="664"/>
      <c r="I300" s="663"/>
      <c r="J300" s="663"/>
      <c r="K300" s="663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08" t="s">
        <v>1984</v>
      </c>
      <c r="B301" s="708" t="s">
        <v>1985</v>
      </c>
      <c r="C301" s="709">
        <v>-102556.37</v>
      </c>
      <c r="D301" s="709">
        <v>0</v>
      </c>
      <c r="E301" s="709">
        <v>-102556.37</v>
      </c>
      <c r="F301" s="708" t="s">
        <v>2006</v>
      </c>
      <c r="G301" s="708" t="s">
        <v>368</v>
      </c>
      <c r="H301" s="709"/>
      <c r="I301" s="710"/>
      <c r="J301" s="710"/>
      <c r="K301" s="71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08" t="s">
        <v>1224</v>
      </c>
      <c r="B302" s="708" t="s">
        <v>369</v>
      </c>
      <c r="C302" s="710">
        <v>-38370.910000000003</v>
      </c>
      <c r="D302" s="710">
        <v>-1175.4100000000001</v>
      </c>
      <c r="E302" s="710">
        <v>-39546.32</v>
      </c>
      <c r="F302" s="708" t="s">
        <v>2006</v>
      </c>
      <c r="G302" s="708" t="s">
        <v>369</v>
      </c>
      <c r="H302" s="664"/>
      <c r="I302" s="663"/>
      <c r="J302" s="663"/>
      <c r="K302" s="663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08" t="s">
        <v>2365</v>
      </c>
      <c r="B303" s="708" t="s">
        <v>2360</v>
      </c>
      <c r="C303" s="710">
        <v>-2220</v>
      </c>
      <c r="D303" s="710">
        <v>-780</v>
      </c>
      <c r="E303" s="710">
        <v>-3000</v>
      </c>
      <c r="F303" s="708" t="s">
        <v>2006</v>
      </c>
      <c r="G303" s="708" t="s">
        <v>2360</v>
      </c>
      <c r="H303" s="602"/>
      <c r="I303" s="601"/>
      <c r="J303" s="601"/>
      <c r="K303" s="601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08" t="s">
        <v>2145</v>
      </c>
      <c r="B304" s="708" t="s">
        <v>2146</v>
      </c>
      <c r="C304" s="710">
        <v>-31947.95</v>
      </c>
      <c r="D304" s="710">
        <v>-1640</v>
      </c>
      <c r="E304" s="710">
        <v>-33587.949999999997</v>
      </c>
      <c r="F304" s="708" t="s">
        <v>2006</v>
      </c>
      <c r="G304" s="708" t="s">
        <v>2360</v>
      </c>
      <c r="H304" s="664"/>
      <c r="I304" s="663"/>
      <c r="J304" s="663"/>
      <c r="K304" s="663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08" t="s">
        <v>2128</v>
      </c>
      <c r="B305" s="708" t="s">
        <v>2129</v>
      </c>
      <c r="C305" s="710">
        <v>-399</v>
      </c>
      <c r="D305" s="710">
        <v>0</v>
      </c>
      <c r="E305" s="710">
        <v>-399</v>
      </c>
      <c r="F305" s="708" t="s">
        <v>2006</v>
      </c>
      <c r="G305" s="708" t="s">
        <v>1012</v>
      </c>
      <c r="H305" s="664"/>
      <c r="I305" s="663"/>
      <c r="J305" s="663"/>
      <c r="K305" s="663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08" t="s">
        <v>2066</v>
      </c>
      <c r="B306" s="708" t="s">
        <v>2067</v>
      </c>
      <c r="C306" s="710">
        <v>-4575</v>
      </c>
      <c r="D306" s="710">
        <v>0</v>
      </c>
      <c r="E306" s="710">
        <v>-4575</v>
      </c>
      <c r="F306" s="708" t="s">
        <v>2006</v>
      </c>
      <c r="G306" s="708" t="s">
        <v>1012</v>
      </c>
      <c r="H306" s="664"/>
      <c r="I306" s="663"/>
      <c r="J306" s="663"/>
      <c r="K306" s="663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08" t="s">
        <v>1951</v>
      </c>
      <c r="B307" s="708" t="s">
        <v>1952</v>
      </c>
      <c r="C307" s="710">
        <v>-66849.259999999995</v>
      </c>
      <c r="D307" s="710">
        <v>-961.17</v>
      </c>
      <c r="E307" s="710">
        <v>-67810.429999999993</v>
      </c>
      <c r="F307" s="708" t="s">
        <v>2006</v>
      </c>
      <c r="G307" s="708" t="s">
        <v>1012</v>
      </c>
      <c r="H307" s="664"/>
      <c r="I307" s="663"/>
      <c r="J307" s="663"/>
      <c r="K307" s="663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08" t="s">
        <v>1953</v>
      </c>
      <c r="B308" s="708" t="s">
        <v>1954</v>
      </c>
      <c r="C308" s="709">
        <v>-16359</v>
      </c>
      <c r="D308" s="709">
        <v>-399</v>
      </c>
      <c r="E308" s="709">
        <v>-16758</v>
      </c>
      <c r="F308" s="708" t="s">
        <v>2006</v>
      </c>
      <c r="G308" s="708" t="s">
        <v>1012</v>
      </c>
      <c r="H308" s="709"/>
      <c r="I308" s="710"/>
      <c r="J308" s="710"/>
      <c r="K308" s="71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08" t="s">
        <v>2400</v>
      </c>
      <c r="B309" s="708" t="s">
        <v>2401</v>
      </c>
      <c r="C309" s="710">
        <v>-3126</v>
      </c>
      <c r="D309" s="710">
        <v>0</v>
      </c>
      <c r="E309" s="710">
        <v>-3126</v>
      </c>
      <c r="F309" s="708" t="s">
        <v>2006</v>
      </c>
      <c r="G309" s="708" t="s">
        <v>1012</v>
      </c>
      <c r="H309" s="664"/>
      <c r="I309" s="663"/>
      <c r="J309" s="663"/>
      <c r="K309" s="663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08" t="s">
        <v>1411</v>
      </c>
      <c r="B310" s="708" t="s">
        <v>366</v>
      </c>
      <c r="C310" s="710">
        <v>-29021</v>
      </c>
      <c r="D310" s="710">
        <v>0</v>
      </c>
      <c r="E310" s="710">
        <v>-29021</v>
      </c>
      <c r="F310" s="708" t="s">
        <v>2006</v>
      </c>
      <c r="G310" s="708" t="s">
        <v>366</v>
      </c>
      <c r="H310" s="657"/>
      <c r="I310" s="656"/>
      <c r="J310" s="656"/>
      <c r="K310" s="656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08" t="s">
        <v>1178</v>
      </c>
      <c r="B311" s="708" t="s">
        <v>450</v>
      </c>
      <c r="C311" s="710">
        <v>-1975.35</v>
      </c>
      <c r="D311" s="710">
        <v>-94.95</v>
      </c>
      <c r="E311" s="710">
        <v>-2070.3000000000002</v>
      </c>
      <c r="F311" s="708" t="s">
        <v>2006</v>
      </c>
      <c r="G311" s="708" t="s">
        <v>450</v>
      </c>
      <c r="H311" s="664"/>
      <c r="I311" s="663"/>
      <c r="J311" s="663"/>
      <c r="K311" s="663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08" t="s">
        <v>2189</v>
      </c>
      <c r="B312" s="708" t="s">
        <v>2190</v>
      </c>
      <c r="C312" s="710">
        <v>-81945.600000000006</v>
      </c>
      <c r="D312" s="710">
        <v>-3677.1</v>
      </c>
      <c r="E312" s="710">
        <v>-85622.7</v>
      </c>
      <c r="F312" s="708" t="s">
        <v>2006</v>
      </c>
      <c r="G312" s="708" t="s">
        <v>2416</v>
      </c>
      <c r="H312" s="657"/>
      <c r="I312" s="656"/>
      <c r="J312" s="656"/>
      <c r="K312" s="656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08" t="s">
        <v>1115</v>
      </c>
      <c r="B313" s="708" t="s">
        <v>1116</v>
      </c>
      <c r="C313" s="709">
        <v>-285297.94</v>
      </c>
      <c r="D313" s="709">
        <v>-18813.98</v>
      </c>
      <c r="E313" s="709">
        <v>-304111.92</v>
      </c>
      <c r="F313" s="708" t="s">
        <v>2006</v>
      </c>
      <c r="G313" s="708" t="s">
        <v>1116</v>
      </c>
      <c r="H313" s="709"/>
      <c r="I313" s="710"/>
      <c r="J313" s="710"/>
      <c r="K313" s="71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08" t="s">
        <v>1129</v>
      </c>
      <c r="B314" s="708" t="s">
        <v>415</v>
      </c>
      <c r="C314" s="710">
        <v>-295116.64</v>
      </c>
      <c r="D314" s="710">
        <v>-15102.81</v>
      </c>
      <c r="E314" s="710">
        <v>-310219.45</v>
      </c>
      <c r="F314" s="708" t="s">
        <v>2006</v>
      </c>
      <c r="G314" s="708" t="s">
        <v>1116</v>
      </c>
      <c r="H314" s="664"/>
      <c r="I314" s="663"/>
      <c r="J314" s="663"/>
      <c r="K314" s="663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2" t="s">
        <v>1013</v>
      </c>
      <c r="B315" s="662" t="s">
        <v>458</v>
      </c>
      <c r="C315" s="663">
        <v>-15678.28</v>
      </c>
      <c r="D315" s="663">
        <v>-412.95</v>
      </c>
      <c r="E315" s="663">
        <v>-16091.23</v>
      </c>
      <c r="F315" s="662" t="s">
        <v>2006</v>
      </c>
      <c r="G315" s="662" t="s">
        <v>1116</v>
      </c>
      <c r="H315" s="657"/>
      <c r="I315" s="656"/>
      <c r="J315" s="656"/>
      <c r="K315" s="656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2" t="s">
        <v>1127</v>
      </c>
      <c r="B316" s="662" t="s">
        <v>1110</v>
      </c>
      <c r="C316" s="663">
        <v>-131630.29999999999</v>
      </c>
      <c r="D316" s="663">
        <v>-9968.1200000000008</v>
      </c>
      <c r="E316" s="663">
        <v>-141598.42000000001</v>
      </c>
      <c r="F316" s="662" t="s">
        <v>2006</v>
      </c>
      <c r="G316" s="662" t="s">
        <v>1110</v>
      </c>
      <c r="H316" s="657"/>
      <c r="I316" s="656"/>
      <c r="J316" s="656"/>
      <c r="K316" s="656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08" t="s">
        <v>1109</v>
      </c>
      <c r="B317" s="708" t="s">
        <v>436</v>
      </c>
      <c r="C317" s="709">
        <v>-123403.47</v>
      </c>
      <c r="D317" s="709">
        <v>-11017.85</v>
      </c>
      <c r="E317" s="709">
        <v>-134421.32</v>
      </c>
      <c r="F317" s="708" t="s">
        <v>2006</v>
      </c>
      <c r="G317" s="708" t="s">
        <v>1110</v>
      </c>
      <c r="H317" s="709"/>
      <c r="I317" s="710"/>
      <c r="J317" s="710"/>
      <c r="K317" s="71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08" t="s">
        <v>1160</v>
      </c>
      <c r="B318" s="708" t="s">
        <v>441</v>
      </c>
      <c r="C318" s="709">
        <v>-36549.86</v>
      </c>
      <c r="D318" s="709">
        <v>-1840.45</v>
      </c>
      <c r="E318" s="709">
        <v>-38390.31</v>
      </c>
      <c r="F318" s="708" t="s">
        <v>2006</v>
      </c>
      <c r="G318" s="708" t="s">
        <v>441</v>
      </c>
      <c r="H318" s="709"/>
      <c r="I318" s="710"/>
      <c r="J318" s="710"/>
      <c r="K318" s="71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2" t="s">
        <v>1141</v>
      </c>
      <c r="B319" s="662" t="s">
        <v>435</v>
      </c>
      <c r="C319" s="663">
        <v>-67118.47</v>
      </c>
      <c r="D319" s="663">
        <v>-6409.32</v>
      </c>
      <c r="E319" s="663">
        <v>-73527.789999999994</v>
      </c>
      <c r="F319" s="662" t="s">
        <v>2006</v>
      </c>
      <c r="G319" s="662" t="s">
        <v>441</v>
      </c>
      <c r="H319" s="657"/>
      <c r="I319" s="656"/>
      <c r="J319" s="656"/>
      <c r="K319" s="656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08" t="s">
        <v>1222</v>
      </c>
      <c r="B320" s="708" t="s">
        <v>469</v>
      </c>
      <c r="C320" s="709">
        <v>-2151.02</v>
      </c>
      <c r="D320" s="709">
        <v>-21.86</v>
      </c>
      <c r="E320" s="709">
        <v>-2172.88</v>
      </c>
      <c r="F320" s="708" t="s">
        <v>2006</v>
      </c>
      <c r="G320" s="708" t="s">
        <v>441</v>
      </c>
      <c r="H320" s="709"/>
      <c r="I320" s="710"/>
      <c r="J320" s="710"/>
      <c r="K320" s="71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08" t="s">
        <v>1225</v>
      </c>
      <c r="B321" s="708" t="s">
        <v>468</v>
      </c>
      <c r="C321" s="710">
        <v>-13209.72</v>
      </c>
      <c r="D321" s="710">
        <v>-3038.54</v>
      </c>
      <c r="E321" s="710">
        <v>-16248.26</v>
      </c>
      <c r="F321" s="708" t="s">
        <v>2006</v>
      </c>
      <c r="G321" s="708" t="s">
        <v>1110</v>
      </c>
      <c r="H321" s="664"/>
      <c r="I321" s="663"/>
      <c r="J321" s="663"/>
      <c r="K321" s="663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08" t="s">
        <v>1140</v>
      </c>
      <c r="B322" s="708" t="s">
        <v>1139</v>
      </c>
      <c r="C322" s="710">
        <v>-122893.71</v>
      </c>
      <c r="D322" s="710">
        <v>-5340</v>
      </c>
      <c r="E322" s="710">
        <v>-128233.71</v>
      </c>
      <c r="F322" s="708" t="s">
        <v>2006</v>
      </c>
      <c r="G322" s="708" t="s">
        <v>1139</v>
      </c>
      <c r="H322" s="664"/>
      <c r="I322" s="663"/>
      <c r="J322" s="663"/>
      <c r="K322" s="663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08" t="s">
        <v>1138</v>
      </c>
      <c r="B323" s="708" t="s">
        <v>431</v>
      </c>
      <c r="C323" s="709">
        <v>-118876.99</v>
      </c>
      <c r="D323" s="709">
        <v>-8845.2000000000007</v>
      </c>
      <c r="E323" s="709">
        <v>-127722.19</v>
      </c>
      <c r="F323" s="708" t="s">
        <v>2006</v>
      </c>
      <c r="G323" s="708" t="s">
        <v>1139</v>
      </c>
      <c r="H323" s="709"/>
      <c r="I323" s="710"/>
      <c r="J323" s="710"/>
      <c r="K323" s="71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08" t="s">
        <v>1018</v>
      </c>
      <c r="B324" s="708" t="s">
        <v>471</v>
      </c>
      <c r="C324" s="709">
        <v>-25765.08</v>
      </c>
      <c r="D324" s="709">
        <v>-1561.45</v>
      </c>
      <c r="E324" s="709">
        <v>-27326.53</v>
      </c>
      <c r="F324" s="708" t="s">
        <v>2006</v>
      </c>
      <c r="G324" s="708" t="s">
        <v>1139</v>
      </c>
      <c r="H324" s="709"/>
      <c r="I324" s="710"/>
      <c r="J324" s="710"/>
      <c r="K324" s="71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2" t="s">
        <v>2173</v>
      </c>
      <c r="B325" s="662" t="s">
        <v>2174</v>
      </c>
      <c r="C325" s="663">
        <v>-107738.35</v>
      </c>
      <c r="D325" s="663">
        <v>-5729.85</v>
      </c>
      <c r="E325" s="663">
        <v>-113468.2</v>
      </c>
      <c r="F325" s="662" t="s">
        <v>2006</v>
      </c>
      <c r="G325" s="662" t="s">
        <v>1139</v>
      </c>
      <c r="H325" s="657"/>
      <c r="I325" s="656"/>
      <c r="J325" s="656"/>
      <c r="K325" s="656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08" t="s">
        <v>2175</v>
      </c>
      <c r="B326" s="708" t="s">
        <v>2176</v>
      </c>
      <c r="C326" s="710">
        <v>-62152.01</v>
      </c>
      <c r="D326" s="710">
        <v>-3285.1</v>
      </c>
      <c r="E326" s="710">
        <v>-65437.11</v>
      </c>
      <c r="F326" s="708" t="s">
        <v>2006</v>
      </c>
      <c r="G326" s="708" t="s">
        <v>1139</v>
      </c>
      <c r="H326" s="664"/>
      <c r="I326" s="663"/>
      <c r="J326" s="663"/>
      <c r="K326" s="663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08" t="s">
        <v>2236</v>
      </c>
      <c r="B327" s="708" t="s">
        <v>2235</v>
      </c>
      <c r="C327" s="709">
        <v>-7091.45</v>
      </c>
      <c r="D327" s="709">
        <v>-1951.4</v>
      </c>
      <c r="E327" s="709">
        <v>-9042.85</v>
      </c>
      <c r="F327" s="708" t="s">
        <v>2006</v>
      </c>
      <c r="G327" s="708" t="s">
        <v>1139</v>
      </c>
      <c r="H327" s="709"/>
      <c r="I327" s="710"/>
      <c r="J327" s="710"/>
      <c r="K327" s="71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08" t="s">
        <v>1154</v>
      </c>
      <c r="B328" s="708" t="s">
        <v>1143</v>
      </c>
      <c r="C328" s="710">
        <v>-22009.81</v>
      </c>
      <c r="D328" s="710">
        <v>-2808.15</v>
      </c>
      <c r="E328" s="710">
        <v>-24817.96</v>
      </c>
      <c r="F328" s="708" t="s">
        <v>2006</v>
      </c>
      <c r="G328" s="708" t="s">
        <v>1143</v>
      </c>
      <c r="H328" s="664"/>
      <c r="I328" s="663"/>
      <c r="J328" s="663"/>
      <c r="K328" s="663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08" t="s">
        <v>1142</v>
      </c>
      <c r="B329" s="708" t="s">
        <v>454</v>
      </c>
      <c r="C329" s="710">
        <v>-20331.810000000001</v>
      </c>
      <c r="D329" s="710">
        <v>-348.35</v>
      </c>
      <c r="E329" s="710">
        <v>-20680.16</v>
      </c>
      <c r="F329" s="708" t="s">
        <v>2006</v>
      </c>
      <c r="G329" s="708" t="s">
        <v>1143</v>
      </c>
      <c r="H329" s="664"/>
      <c r="I329" s="663"/>
      <c r="J329" s="663"/>
      <c r="K329" s="663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08" t="s">
        <v>472</v>
      </c>
      <c r="B330" s="708" t="s">
        <v>473</v>
      </c>
      <c r="C330" s="709">
        <v>-7942.02</v>
      </c>
      <c r="D330" s="709">
        <v>-5040</v>
      </c>
      <c r="E330" s="709">
        <v>-12982.02</v>
      </c>
      <c r="F330" s="708" t="s">
        <v>2006</v>
      </c>
      <c r="G330" s="708" t="s">
        <v>1143</v>
      </c>
      <c r="H330" s="709"/>
      <c r="I330" s="710"/>
      <c r="J330" s="710"/>
      <c r="K330" s="71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08" t="s">
        <v>1119</v>
      </c>
      <c r="B331" s="708" t="s">
        <v>1120</v>
      </c>
      <c r="C331" s="710">
        <v>-249202.97</v>
      </c>
      <c r="D331" s="710">
        <v>-18641.72</v>
      </c>
      <c r="E331" s="710">
        <v>-267844.69</v>
      </c>
      <c r="F331" s="708" t="s">
        <v>2006</v>
      </c>
      <c r="G331" s="708" t="s">
        <v>1120</v>
      </c>
      <c r="H331" s="664"/>
      <c r="I331" s="663"/>
      <c r="J331" s="663"/>
      <c r="K331" s="663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2" t="s">
        <v>1135</v>
      </c>
      <c r="B332" s="662" t="s">
        <v>429</v>
      </c>
      <c r="C332" s="663">
        <v>-327120.71999999997</v>
      </c>
      <c r="D332" s="663">
        <v>-22122.86</v>
      </c>
      <c r="E332" s="663">
        <v>-349243.58</v>
      </c>
      <c r="F332" s="662" t="s">
        <v>2006</v>
      </c>
      <c r="G332" s="662" t="s">
        <v>1120</v>
      </c>
      <c r="H332" s="657"/>
      <c r="I332" s="656"/>
      <c r="J332" s="656"/>
      <c r="K332" s="656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08" t="s">
        <v>1238</v>
      </c>
      <c r="B333" s="708" t="s">
        <v>457</v>
      </c>
      <c r="C333" s="710">
        <v>-13650.47</v>
      </c>
      <c r="D333" s="710">
        <v>-1322.63</v>
      </c>
      <c r="E333" s="710">
        <v>-14973.1</v>
      </c>
      <c r="F333" s="708" t="s">
        <v>2006</v>
      </c>
      <c r="G333" s="708" t="s">
        <v>1120</v>
      </c>
      <c r="H333" s="664"/>
      <c r="I333" s="663"/>
      <c r="J333" s="663"/>
      <c r="K333" s="663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2" t="s">
        <v>2081</v>
      </c>
      <c r="B334" s="662" t="s">
        <v>2082</v>
      </c>
      <c r="C334" s="663">
        <v>-2119.6</v>
      </c>
      <c r="D334" s="663">
        <v>0</v>
      </c>
      <c r="E334" s="663">
        <v>-2119.6</v>
      </c>
      <c r="F334" s="662" t="s">
        <v>2006</v>
      </c>
      <c r="G334" s="662" t="s">
        <v>2082</v>
      </c>
      <c r="H334" s="657"/>
      <c r="I334" s="656"/>
      <c r="J334" s="656"/>
      <c r="K334" s="656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2" t="s">
        <v>2421</v>
      </c>
      <c r="B335" s="662" t="s">
        <v>2422</v>
      </c>
      <c r="C335" s="663">
        <v>-78.08</v>
      </c>
      <c r="D335" s="663">
        <v>0</v>
      </c>
      <c r="E335" s="663">
        <v>-78.08</v>
      </c>
      <c r="F335" s="662" t="s">
        <v>2006</v>
      </c>
      <c r="G335" s="662" t="s">
        <v>2082</v>
      </c>
      <c r="H335" s="657"/>
      <c r="I335" s="656"/>
      <c r="J335" s="656"/>
      <c r="K335" s="656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08" t="s">
        <v>1095</v>
      </c>
      <c r="B336" s="708" t="s">
        <v>1096</v>
      </c>
      <c r="C336" s="710">
        <v>-202221.06</v>
      </c>
      <c r="D336" s="710">
        <v>-28539.919999999998</v>
      </c>
      <c r="E336" s="710">
        <v>-230760.98</v>
      </c>
      <c r="F336" s="708" t="s">
        <v>2006</v>
      </c>
      <c r="G336" s="708" t="s">
        <v>1096</v>
      </c>
      <c r="H336" s="657"/>
      <c r="I336" s="656"/>
      <c r="J336" s="656"/>
      <c r="K336" s="656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2" t="s">
        <v>1099</v>
      </c>
      <c r="B337" s="662" t="s">
        <v>465</v>
      </c>
      <c r="C337" s="663">
        <v>-270654.73</v>
      </c>
      <c r="D337" s="663">
        <v>-32836.080000000002</v>
      </c>
      <c r="E337" s="663">
        <v>-303490.81</v>
      </c>
      <c r="F337" s="662" t="s">
        <v>2006</v>
      </c>
      <c r="G337" s="662" t="s">
        <v>1096</v>
      </c>
      <c r="H337" s="657"/>
      <c r="I337" s="656"/>
      <c r="J337" s="656"/>
      <c r="K337" s="656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08" t="s">
        <v>1179</v>
      </c>
      <c r="B338" s="708" t="s">
        <v>434</v>
      </c>
      <c r="C338" s="710">
        <v>-22772.05</v>
      </c>
      <c r="D338" s="710">
        <v>-1361.66</v>
      </c>
      <c r="E338" s="710">
        <v>-24133.71</v>
      </c>
      <c r="F338" s="708" t="s">
        <v>2006</v>
      </c>
      <c r="G338" s="708" t="s">
        <v>434</v>
      </c>
      <c r="H338" s="664"/>
      <c r="I338" s="663"/>
      <c r="J338" s="663"/>
      <c r="K338" s="663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08" t="s">
        <v>1149</v>
      </c>
      <c r="B339" s="708" t="s">
        <v>464</v>
      </c>
      <c r="C339" s="710">
        <v>-43446.39</v>
      </c>
      <c r="D339" s="710">
        <v>-5258.07</v>
      </c>
      <c r="E339" s="710">
        <v>-48704.46</v>
      </c>
      <c r="F339" s="708" t="s">
        <v>2006</v>
      </c>
      <c r="G339" s="708" t="s">
        <v>434</v>
      </c>
      <c r="H339" s="664"/>
      <c r="I339" s="663"/>
      <c r="J339" s="663"/>
      <c r="K339" s="663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2" t="s">
        <v>1027</v>
      </c>
      <c r="B340" s="662" t="s">
        <v>634</v>
      </c>
      <c r="C340" s="663">
        <v>-32733.95</v>
      </c>
      <c r="D340" s="663">
        <v>-4084.61</v>
      </c>
      <c r="E340" s="663">
        <v>-36818.559999999998</v>
      </c>
      <c r="F340" s="662" t="s">
        <v>2006</v>
      </c>
      <c r="G340" s="662" t="s">
        <v>1096</v>
      </c>
      <c r="H340" s="657"/>
      <c r="I340" s="656"/>
      <c r="J340" s="656"/>
      <c r="K340" s="656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2" t="s">
        <v>1148</v>
      </c>
      <c r="B341" s="662" t="s">
        <v>1132</v>
      </c>
      <c r="C341" s="663">
        <v>-82352.149999999994</v>
      </c>
      <c r="D341" s="663">
        <v>-12137.13</v>
      </c>
      <c r="E341" s="663">
        <v>-94489.279999999999</v>
      </c>
      <c r="F341" s="662" t="s">
        <v>2006</v>
      </c>
      <c r="G341" s="662" t="s">
        <v>1132</v>
      </c>
      <c r="H341" s="657"/>
      <c r="I341" s="656"/>
      <c r="J341" s="656"/>
      <c r="K341" s="656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08" t="s">
        <v>1131</v>
      </c>
      <c r="B342" s="708" t="s">
        <v>449</v>
      </c>
      <c r="C342" s="710">
        <v>-80936.240000000005</v>
      </c>
      <c r="D342" s="710">
        <v>-2648.85</v>
      </c>
      <c r="E342" s="710">
        <v>-83585.09</v>
      </c>
      <c r="F342" s="708" t="s">
        <v>2006</v>
      </c>
      <c r="G342" s="708" t="s">
        <v>1132</v>
      </c>
      <c r="H342" s="664"/>
      <c r="I342" s="664"/>
      <c r="J342" s="664"/>
      <c r="K342" s="664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08" t="s">
        <v>635</v>
      </c>
      <c r="B343" s="708" t="s">
        <v>636</v>
      </c>
      <c r="C343" s="710">
        <v>-10538.07</v>
      </c>
      <c r="D343" s="710">
        <v>-987.82</v>
      </c>
      <c r="E343" s="710">
        <v>-11525.89</v>
      </c>
      <c r="F343" s="708" t="s">
        <v>2006</v>
      </c>
      <c r="G343" s="708" t="s">
        <v>1132</v>
      </c>
      <c r="H343" s="664"/>
      <c r="I343" s="663"/>
      <c r="J343" s="663"/>
      <c r="K343" s="663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08" t="s">
        <v>1117</v>
      </c>
      <c r="B344" s="708" t="s">
        <v>1118</v>
      </c>
      <c r="C344" s="710">
        <v>-184951.75</v>
      </c>
      <c r="D344" s="710">
        <v>-8253.59</v>
      </c>
      <c r="E344" s="710">
        <v>-193205.34</v>
      </c>
      <c r="F344" s="708" t="s">
        <v>2006</v>
      </c>
      <c r="G344" s="708" t="s">
        <v>1118</v>
      </c>
      <c r="H344" s="657"/>
      <c r="I344" s="656"/>
      <c r="J344" s="656"/>
      <c r="K344" s="656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2" t="s">
        <v>1187</v>
      </c>
      <c r="B345" s="662" t="s">
        <v>460</v>
      </c>
      <c r="C345" s="663">
        <v>-19630.13</v>
      </c>
      <c r="D345" s="663">
        <v>-1573.85</v>
      </c>
      <c r="E345" s="663">
        <v>-21203.98</v>
      </c>
      <c r="F345" s="662" t="s">
        <v>2006</v>
      </c>
      <c r="G345" s="662" t="s">
        <v>1118</v>
      </c>
      <c r="H345" s="657"/>
      <c r="I345" s="656"/>
      <c r="J345" s="656"/>
      <c r="K345" s="656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08" t="s">
        <v>1133</v>
      </c>
      <c r="B346" s="708" t="s">
        <v>425</v>
      </c>
      <c r="C346" s="710">
        <v>-68715.41</v>
      </c>
      <c r="D346" s="710">
        <v>-4022.05</v>
      </c>
      <c r="E346" s="710">
        <v>-72737.460000000006</v>
      </c>
      <c r="F346" s="708" t="s">
        <v>2006</v>
      </c>
      <c r="G346" s="708" t="s">
        <v>1118</v>
      </c>
      <c r="H346" s="664"/>
      <c r="I346" s="663"/>
      <c r="J346" s="663"/>
      <c r="K346" s="663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08" t="s">
        <v>1166</v>
      </c>
      <c r="B347" s="708" t="s">
        <v>1167</v>
      </c>
      <c r="C347" s="710">
        <v>-517196.09</v>
      </c>
      <c r="D347" s="710">
        <v>-61481.93</v>
      </c>
      <c r="E347" s="710">
        <v>-578678.02</v>
      </c>
      <c r="F347" s="708" t="s">
        <v>2006</v>
      </c>
      <c r="G347" s="708" t="s">
        <v>1167</v>
      </c>
      <c r="H347" s="664"/>
      <c r="I347" s="664"/>
      <c r="J347" s="664"/>
      <c r="K347" s="664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08" t="s">
        <v>1412</v>
      </c>
      <c r="B348" s="708" t="s">
        <v>637</v>
      </c>
      <c r="C348" s="710">
        <v>-404767.13</v>
      </c>
      <c r="D348" s="710">
        <v>0</v>
      </c>
      <c r="E348" s="710">
        <v>-404767.13</v>
      </c>
      <c r="F348" s="708" t="s">
        <v>2006</v>
      </c>
      <c r="G348" s="708" t="s">
        <v>637</v>
      </c>
      <c r="H348" s="664"/>
      <c r="I348" s="663"/>
      <c r="J348" s="663"/>
      <c r="K348" s="663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08" t="s">
        <v>638</v>
      </c>
      <c r="B349" s="708" t="s">
        <v>639</v>
      </c>
      <c r="C349" s="709">
        <v>-129799.5</v>
      </c>
      <c r="D349" s="709">
        <v>0</v>
      </c>
      <c r="E349" s="709">
        <v>-129799.5</v>
      </c>
      <c r="F349" s="708" t="s">
        <v>2006</v>
      </c>
      <c r="G349" s="708" t="s">
        <v>637</v>
      </c>
      <c r="H349" s="709"/>
      <c r="I349" s="710"/>
      <c r="J349" s="710"/>
      <c r="K349" s="71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08" t="s">
        <v>422</v>
      </c>
      <c r="B350" s="708" t="s">
        <v>417</v>
      </c>
      <c r="C350" s="709">
        <v>-652669.93999999994</v>
      </c>
      <c r="D350" s="709">
        <v>-44249.65</v>
      </c>
      <c r="E350" s="709">
        <v>-696919.59</v>
      </c>
      <c r="F350" s="708" t="s">
        <v>2006</v>
      </c>
      <c r="G350" s="708" t="s">
        <v>417</v>
      </c>
      <c r="H350" s="709"/>
      <c r="I350" s="710"/>
      <c r="J350" s="710"/>
      <c r="K350" s="71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08" t="s">
        <v>1146</v>
      </c>
      <c r="B351" s="708" t="s">
        <v>445</v>
      </c>
      <c r="C351" s="710">
        <v>-53477.2</v>
      </c>
      <c r="D351" s="710">
        <v>-3949.94</v>
      </c>
      <c r="E351" s="710">
        <v>-57427.14</v>
      </c>
      <c r="F351" s="708" t="s">
        <v>2006</v>
      </c>
      <c r="G351" s="708" t="s">
        <v>445</v>
      </c>
      <c r="H351" s="664"/>
      <c r="I351" s="663"/>
      <c r="J351" s="663"/>
      <c r="K351" s="663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2" t="s">
        <v>1150</v>
      </c>
      <c r="B352" s="662" t="s">
        <v>1151</v>
      </c>
      <c r="C352" s="663">
        <v>-57573.59</v>
      </c>
      <c r="D352" s="663">
        <v>-5667.76</v>
      </c>
      <c r="E352" s="663">
        <v>-63241.35</v>
      </c>
      <c r="F352" s="662" t="s">
        <v>2006</v>
      </c>
      <c r="G352" s="662" t="s">
        <v>445</v>
      </c>
      <c r="H352" s="657"/>
      <c r="I352" s="656"/>
      <c r="J352" s="656"/>
      <c r="K352" s="656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08" t="s">
        <v>1413</v>
      </c>
      <c r="B353" s="708" t="s">
        <v>365</v>
      </c>
      <c r="C353" s="710">
        <v>-32982.5</v>
      </c>
      <c r="D353" s="710">
        <v>-1313.6</v>
      </c>
      <c r="E353" s="710">
        <v>-34296.1</v>
      </c>
      <c r="F353" s="708" t="s">
        <v>2006</v>
      </c>
      <c r="G353" s="708" t="s">
        <v>365</v>
      </c>
      <c r="H353" s="664"/>
      <c r="I353" s="663"/>
      <c r="J353" s="663"/>
      <c r="K353" s="663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62" t="s">
        <v>2389</v>
      </c>
      <c r="B354" s="662" t="s">
        <v>2390</v>
      </c>
      <c r="C354" s="663">
        <v>768303.03</v>
      </c>
      <c r="D354" s="663">
        <v>82981.94</v>
      </c>
      <c r="E354" s="663">
        <v>851284.97</v>
      </c>
      <c r="F354" s="662" t="s">
        <v>2014</v>
      </c>
      <c r="G354" s="662" t="s">
        <v>2386</v>
      </c>
      <c r="H354" s="657"/>
      <c r="I354" s="656"/>
      <c r="J354" s="656"/>
      <c r="K354" s="656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2346</v>
      </c>
      <c r="B355" s="708" t="s">
        <v>2347</v>
      </c>
      <c r="C355" s="710">
        <v>1357075.25</v>
      </c>
      <c r="D355" s="710">
        <v>109635.57</v>
      </c>
      <c r="E355" s="710">
        <v>1466710.82</v>
      </c>
      <c r="F355" s="708" t="s">
        <v>2014</v>
      </c>
      <c r="G355" s="708" t="s">
        <v>2341</v>
      </c>
      <c r="H355" s="657"/>
      <c r="I355" s="656"/>
      <c r="J355" s="656"/>
      <c r="K355" s="656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2408</v>
      </c>
      <c r="B356" s="708" t="s">
        <v>2409</v>
      </c>
      <c r="C356" s="710">
        <v>131161.04999999999</v>
      </c>
      <c r="D356" s="710">
        <v>0</v>
      </c>
      <c r="E356" s="710">
        <v>131161.04999999999</v>
      </c>
      <c r="F356" s="708" t="s">
        <v>2014</v>
      </c>
      <c r="G356" s="708" t="s">
        <v>2407</v>
      </c>
      <c r="H356" s="664"/>
      <c r="I356" s="663"/>
      <c r="J356" s="663"/>
      <c r="K356" s="663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2348</v>
      </c>
      <c r="B357" s="708" t="s">
        <v>2349</v>
      </c>
      <c r="C357" s="709">
        <v>250683.12</v>
      </c>
      <c r="D357" s="709">
        <v>86628.61</v>
      </c>
      <c r="E357" s="709">
        <v>337311.73</v>
      </c>
      <c r="F357" s="708" t="s">
        <v>2014</v>
      </c>
      <c r="G357" s="708" t="s">
        <v>2343</v>
      </c>
      <c r="H357" s="709"/>
      <c r="I357" s="710"/>
      <c r="J357" s="710"/>
      <c r="K357" s="71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2350</v>
      </c>
      <c r="B358" s="662" t="s">
        <v>2351</v>
      </c>
      <c r="C358" s="663">
        <v>832600.78</v>
      </c>
      <c r="D358" s="663">
        <v>72272.5</v>
      </c>
      <c r="E358" s="663">
        <v>904873.28</v>
      </c>
      <c r="F358" s="662" t="s">
        <v>2014</v>
      </c>
      <c r="G358" s="662" t="s">
        <v>2345</v>
      </c>
      <c r="H358" s="657"/>
      <c r="I358" s="656"/>
      <c r="J358" s="656"/>
      <c r="K358" s="656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1414</v>
      </c>
      <c r="B359" s="708" t="s">
        <v>642</v>
      </c>
      <c r="C359" s="710">
        <v>273457.23</v>
      </c>
      <c r="D359" s="710">
        <v>0</v>
      </c>
      <c r="E359" s="710">
        <v>273457.23</v>
      </c>
      <c r="F359" s="708" t="s">
        <v>2014</v>
      </c>
      <c r="G359" s="708" t="s">
        <v>605</v>
      </c>
      <c r="H359" s="664"/>
      <c r="I359" s="663"/>
      <c r="J359" s="663"/>
      <c r="K359" s="663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1415</v>
      </c>
      <c r="B360" s="708" t="s">
        <v>643</v>
      </c>
      <c r="C360" s="709">
        <v>241583.64</v>
      </c>
      <c r="D360" s="709">
        <v>91628.98</v>
      </c>
      <c r="E360" s="709">
        <v>333212.62</v>
      </c>
      <c r="F360" s="708" t="s">
        <v>2014</v>
      </c>
      <c r="G360" s="708" t="s">
        <v>606</v>
      </c>
      <c r="H360" s="709"/>
      <c r="I360" s="710"/>
      <c r="J360" s="710"/>
      <c r="K360" s="71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1866</v>
      </c>
      <c r="B361" s="708" t="s">
        <v>644</v>
      </c>
      <c r="C361" s="710">
        <v>147365.97</v>
      </c>
      <c r="D361" s="710">
        <v>0</v>
      </c>
      <c r="E361" s="710">
        <v>147365.97</v>
      </c>
      <c r="F361" s="708" t="s">
        <v>2014</v>
      </c>
      <c r="G361" s="708" t="s">
        <v>607</v>
      </c>
      <c r="H361" s="664"/>
      <c r="I361" s="663"/>
      <c r="J361" s="663"/>
      <c r="K361" s="663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2366</v>
      </c>
      <c r="B362" s="708" t="s">
        <v>2367</v>
      </c>
      <c r="C362" s="709">
        <v>222002.52</v>
      </c>
      <c r="D362" s="709">
        <v>0</v>
      </c>
      <c r="E362" s="709">
        <v>222002.52</v>
      </c>
      <c r="F362" s="708" t="s">
        <v>2014</v>
      </c>
      <c r="G362" s="708" t="s">
        <v>2362</v>
      </c>
      <c r="H362" s="709"/>
      <c r="I362" s="710"/>
      <c r="J362" s="710"/>
      <c r="K362" s="71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1986</v>
      </c>
      <c r="B363" s="662" t="s">
        <v>1987</v>
      </c>
      <c r="C363" s="663">
        <v>367658.32</v>
      </c>
      <c r="D363" s="663">
        <v>0</v>
      </c>
      <c r="E363" s="663">
        <v>367658.32</v>
      </c>
      <c r="F363" s="662" t="s">
        <v>2014</v>
      </c>
      <c r="G363" s="662" t="s">
        <v>1983</v>
      </c>
      <c r="H363" s="657"/>
      <c r="I363" s="656"/>
      <c r="J363" s="656"/>
      <c r="K363" s="656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2033</v>
      </c>
      <c r="B364" s="708" t="s">
        <v>2034</v>
      </c>
      <c r="C364" s="710">
        <v>227879.51</v>
      </c>
      <c r="D364" s="710">
        <v>0</v>
      </c>
      <c r="E364" s="710">
        <v>227879.51</v>
      </c>
      <c r="F364" s="708" t="s">
        <v>2014</v>
      </c>
      <c r="G364" s="708" t="s">
        <v>2028</v>
      </c>
      <c r="H364" s="664"/>
      <c r="I364" s="663"/>
      <c r="J364" s="663"/>
      <c r="K364" s="663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1417</v>
      </c>
      <c r="B365" s="708" t="s">
        <v>647</v>
      </c>
      <c r="C365" s="710">
        <v>240475.34</v>
      </c>
      <c r="D365" s="710">
        <v>0</v>
      </c>
      <c r="E365" s="710">
        <v>240475.34</v>
      </c>
      <c r="F365" s="708" t="s">
        <v>2014</v>
      </c>
      <c r="G365" s="708" t="s">
        <v>610</v>
      </c>
      <c r="H365" s="664"/>
      <c r="I365" s="663"/>
      <c r="J365" s="663"/>
      <c r="K365" s="663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2380</v>
      </c>
      <c r="B366" s="708" t="s">
        <v>2381</v>
      </c>
      <c r="C366" s="710">
        <v>101784.67</v>
      </c>
      <c r="D366" s="710">
        <v>101325.91</v>
      </c>
      <c r="E366" s="710">
        <v>203110.58</v>
      </c>
      <c r="F366" s="708" t="s">
        <v>2014</v>
      </c>
      <c r="G366" s="708" t="s">
        <v>2379</v>
      </c>
      <c r="H366" s="664"/>
      <c r="I366" s="663"/>
      <c r="J366" s="663"/>
      <c r="K366" s="663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1419</v>
      </c>
      <c r="B367" s="662" t="s">
        <v>1420</v>
      </c>
      <c r="C367" s="663">
        <v>145799.19</v>
      </c>
      <c r="D367" s="663">
        <v>0</v>
      </c>
      <c r="E367" s="663">
        <v>145799.19</v>
      </c>
      <c r="F367" s="662" t="s">
        <v>2014</v>
      </c>
      <c r="G367" s="662" t="s">
        <v>1376</v>
      </c>
      <c r="H367" s="657"/>
      <c r="I367" s="656"/>
      <c r="J367" s="656"/>
      <c r="K367" s="656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2035</v>
      </c>
      <c r="B368" s="708" t="s">
        <v>2036</v>
      </c>
      <c r="C368" s="710">
        <v>102144.67</v>
      </c>
      <c r="D368" s="710">
        <v>0</v>
      </c>
      <c r="E368" s="710">
        <v>102144.67</v>
      </c>
      <c r="F368" s="708" t="s">
        <v>2014</v>
      </c>
      <c r="G368" s="708" t="s">
        <v>2030</v>
      </c>
      <c r="H368" s="664"/>
      <c r="I368" s="663"/>
      <c r="J368" s="663"/>
      <c r="K368" s="663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2368</v>
      </c>
      <c r="B369" s="662" t="s">
        <v>2369</v>
      </c>
      <c r="C369" s="663">
        <v>199019.64</v>
      </c>
      <c r="D369" s="663">
        <v>0</v>
      </c>
      <c r="E369" s="663">
        <v>199019.64</v>
      </c>
      <c r="F369" s="662" t="s">
        <v>2014</v>
      </c>
      <c r="G369" s="662" t="s">
        <v>2364</v>
      </c>
      <c r="H369" s="657"/>
      <c r="I369" s="656"/>
      <c r="J369" s="656"/>
      <c r="K369" s="656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1019</v>
      </c>
      <c r="B370" s="708" t="s">
        <v>649</v>
      </c>
      <c r="C370" s="710">
        <v>216872.26</v>
      </c>
      <c r="D370" s="710">
        <v>0</v>
      </c>
      <c r="E370" s="710">
        <v>216872.26</v>
      </c>
      <c r="F370" s="708" t="s">
        <v>2014</v>
      </c>
      <c r="G370" s="708" t="s">
        <v>612</v>
      </c>
      <c r="H370" s="664"/>
      <c r="I370" s="663"/>
      <c r="J370" s="663"/>
      <c r="K370" s="663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1924</v>
      </c>
      <c r="B371" s="708" t="s">
        <v>1926</v>
      </c>
      <c r="C371" s="710">
        <v>360555.61</v>
      </c>
      <c r="D371" s="710">
        <v>0</v>
      </c>
      <c r="E371" s="710">
        <v>360555.61</v>
      </c>
      <c r="F371" s="708" t="s">
        <v>2014</v>
      </c>
      <c r="G371" s="708" t="s">
        <v>1925</v>
      </c>
      <c r="H371" s="664"/>
      <c r="I371" s="663"/>
      <c r="J371" s="663"/>
      <c r="K371" s="663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1842</v>
      </c>
      <c r="B372" s="708" t="s">
        <v>979</v>
      </c>
      <c r="C372" s="710">
        <v>201317.14</v>
      </c>
      <c r="D372" s="710">
        <v>156773.22</v>
      </c>
      <c r="E372" s="710">
        <v>358090.36</v>
      </c>
      <c r="F372" s="708" t="s">
        <v>2014</v>
      </c>
      <c r="G372" s="708" t="s">
        <v>410</v>
      </c>
      <c r="H372" s="664"/>
      <c r="I372" s="664"/>
      <c r="J372" s="664"/>
      <c r="K372" s="664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1104</v>
      </c>
      <c r="B373" s="662" t="s">
        <v>426</v>
      </c>
      <c r="C373" s="663">
        <v>-348088.5</v>
      </c>
      <c r="D373" s="663">
        <v>-27484.7</v>
      </c>
      <c r="E373" s="663">
        <v>-375573.2</v>
      </c>
      <c r="F373" s="662" t="s">
        <v>2014</v>
      </c>
      <c r="G373" s="662" t="s">
        <v>2251</v>
      </c>
      <c r="H373" s="657"/>
      <c r="I373" s="656"/>
      <c r="J373" s="656"/>
      <c r="K373" s="656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651</v>
      </c>
      <c r="B374" s="708" t="s">
        <v>652</v>
      </c>
      <c r="C374" s="709">
        <v>98659.51</v>
      </c>
      <c r="D374" s="709">
        <v>0</v>
      </c>
      <c r="E374" s="709">
        <v>98659.51</v>
      </c>
      <c r="F374" s="708" t="s">
        <v>2014</v>
      </c>
      <c r="G374" s="708" t="s">
        <v>2460</v>
      </c>
      <c r="H374" s="709"/>
      <c r="I374" s="710"/>
      <c r="J374" s="710"/>
      <c r="K374" s="71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1837</v>
      </c>
      <c r="B375" s="708" t="s">
        <v>654</v>
      </c>
      <c r="C375" s="710">
        <v>686828.7</v>
      </c>
      <c r="D375" s="710">
        <v>65132.34</v>
      </c>
      <c r="E375" s="710">
        <v>751961.04</v>
      </c>
      <c r="F375" s="708" t="s">
        <v>2014</v>
      </c>
      <c r="G375" s="708" t="s">
        <v>616</v>
      </c>
      <c r="H375" s="657"/>
      <c r="I375" s="656"/>
      <c r="J375" s="656"/>
      <c r="K375" s="656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2" t="s">
        <v>1608</v>
      </c>
      <c r="B376" s="662" t="s">
        <v>980</v>
      </c>
      <c r="C376" s="663">
        <v>726680.82</v>
      </c>
      <c r="D376" s="663">
        <v>0</v>
      </c>
      <c r="E376" s="663">
        <v>726680.82</v>
      </c>
      <c r="F376" s="662" t="s">
        <v>2014</v>
      </c>
      <c r="G376" s="662" t="s">
        <v>616</v>
      </c>
      <c r="H376" s="657"/>
      <c r="I376" s="656"/>
      <c r="J376" s="656"/>
      <c r="K376" s="656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08" t="s">
        <v>1425</v>
      </c>
      <c r="B377" s="708" t="s">
        <v>971</v>
      </c>
      <c r="C377" s="710">
        <v>55661.35</v>
      </c>
      <c r="D377" s="710">
        <v>165986.65</v>
      </c>
      <c r="E377" s="710">
        <v>221648</v>
      </c>
      <c r="F377" s="708" t="s">
        <v>2014</v>
      </c>
      <c r="G377" s="708" t="s">
        <v>423</v>
      </c>
      <c r="H377" s="664"/>
      <c r="I377" s="663"/>
      <c r="J377" s="663"/>
      <c r="K377" s="663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08" t="s">
        <v>1426</v>
      </c>
      <c r="B378" s="708" t="s">
        <v>977</v>
      </c>
      <c r="C378" s="710">
        <v>544128</v>
      </c>
      <c r="D378" s="710">
        <v>0</v>
      </c>
      <c r="E378" s="710">
        <v>544128</v>
      </c>
      <c r="F378" s="708" t="s">
        <v>2014</v>
      </c>
      <c r="G378" s="708" t="s">
        <v>412</v>
      </c>
      <c r="H378" s="602"/>
      <c r="I378" s="601"/>
      <c r="J378" s="601"/>
      <c r="K378" s="601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08" t="s">
        <v>1427</v>
      </c>
      <c r="B379" s="708" t="s">
        <v>976</v>
      </c>
      <c r="C379" s="709">
        <v>364661.95</v>
      </c>
      <c r="D379" s="709">
        <v>0</v>
      </c>
      <c r="E379" s="709">
        <v>364661.95</v>
      </c>
      <c r="F379" s="708" t="s">
        <v>2014</v>
      </c>
      <c r="G379" s="708" t="s">
        <v>419</v>
      </c>
      <c r="H379" s="709"/>
      <c r="I379" s="710"/>
      <c r="J379" s="710"/>
      <c r="K379" s="71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08" t="s">
        <v>2391</v>
      </c>
      <c r="B380" s="708" t="s">
        <v>2392</v>
      </c>
      <c r="C380" s="710">
        <v>224574.16</v>
      </c>
      <c r="D380" s="710">
        <v>0</v>
      </c>
      <c r="E380" s="710">
        <v>224574.16</v>
      </c>
      <c r="F380" s="708" t="s">
        <v>2014</v>
      </c>
      <c r="G380" s="708" t="s">
        <v>2388</v>
      </c>
      <c r="H380" s="664"/>
      <c r="I380" s="663"/>
      <c r="J380" s="663"/>
      <c r="K380" s="663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08" t="s">
        <v>2432</v>
      </c>
      <c r="B381" s="708" t="s">
        <v>983</v>
      </c>
      <c r="C381" s="710">
        <v>1337636.8</v>
      </c>
      <c r="D381" s="710">
        <v>130821.69</v>
      </c>
      <c r="E381" s="710">
        <v>1468458.49</v>
      </c>
      <c r="F381" s="708" t="s">
        <v>2014</v>
      </c>
      <c r="G381" s="708" t="s">
        <v>402</v>
      </c>
      <c r="H381" s="657"/>
      <c r="I381" s="656"/>
      <c r="J381" s="656"/>
      <c r="K381" s="656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08" t="s">
        <v>1428</v>
      </c>
      <c r="B382" s="708" t="s">
        <v>655</v>
      </c>
      <c r="C382" s="709">
        <v>1023699.89</v>
      </c>
      <c r="D382" s="709">
        <v>152317.07</v>
      </c>
      <c r="E382" s="709">
        <v>1176016.96</v>
      </c>
      <c r="F382" s="708" t="s">
        <v>2014</v>
      </c>
      <c r="G382" s="708" t="s">
        <v>617</v>
      </c>
      <c r="H382" s="709"/>
      <c r="I382" s="710"/>
      <c r="J382" s="710"/>
      <c r="K382" s="71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08" t="s">
        <v>1848</v>
      </c>
      <c r="B383" s="708" t="s">
        <v>656</v>
      </c>
      <c r="C383" s="709">
        <v>893234.03</v>
      </c>
      <c r="D383" s="709">
        <v>82793.97</v>
      </c>
      <c r="E383" s="709">
        <v>976028</v>
      </c>
      <c r="F383" s="708" t="s">
        <v>2014</v>
      </c>
      <c r="G383" s="708" t="s">
        <v>618</v>
      </c>
      <c r="H383" s="709"/>
      <c r="I383" s="710"/>
      <c r="J383" s="710"/>
      <c r="K383" s="71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08" t="s">
        <v>2037</v>
      </c>
      <c r="B384" s="708" t="s">
        <v>2038</v>
      </c>
      <c r="C384" s="710">
        <v>105976.37</v>
      </c>
      <c r="D384" s="710">
        <v>0</v>
      </c>
      <c r="E384" s="710">
        <v>105976.37</v>
      </c>
      <c r="F384" s="708" t="s">
        <v>2014</v>
      </c>
      <c r="G384" s="708" t="s">
        <v>2032</v>
      </c>
      <c r="H384" s="600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2" t="s">
        <v>1429</v>
      </c>
      <c r="B385" s="662" t="s">
        <v>657</v>
      </c>
      <c r="C385" s="663">
        <v>439504.88</v>
      </c>
      <c r="D385" s="663">
        <v>0</v>
      </c>
      <c r="E385" s="663">
        <v>439504.88</v>
      </c>
      <c r="F385" s="662" t="s">
        <v>2014</v>
      </c>
      <c r="G385" s="662" t="s">
        <v>619</v>
      </c>
      <c r="H385" s="657"/>
      <c r="I385" s="656"/>
      <c r="J385" s="656"/>
      <c r="K385" s="656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08" t="s">
        <v>620</v>
      </c>
      <c r="B386" s="708" t="s">
        <v>658</v>
      </c>
      <c r="C386" s="710">
        <v>1129328.6599999999</v>
      </c>
      <c r="D386" s="710">
        <v>0</v>
      </c>
      <c r="E386" s="710">
        <v>1129328.6599999999</v>
      </c>
      <c r="F386" s="708" t="s">
        <v>2014</v>
      </c>
      <c r="G386" s="708" t="s">
        <v>2466</v>
      </c>
      <c r="H386" s="657"/>
      <c r="I386" s="656"/>
      <c r="J386" s="656"/>
      <c r="K386" s="656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08" t="s">
        <v>1870</v>
      </c>
      <c r="B387" s="708" t="s">
        <v>659</v>
      </c>
      <c r="C387" s="710">
        <v>73079.429999999993</v>
      </c>
      <c r="D387" s="710">
        <v>0</v>
      </c>
      <c r="E387" s="710">
        <v>73079.429999999993</v>
      </c>
      <c r="F387" s="708" t="s">
        <v>2014</v>
      </c>
      <c r="G387" s="708" t="s">
        <v>622</v>
      </c>
      <c r="H387" s="664"/>
      <c r="I387" s="663"/>
      <c r="J387" s="663"/>
      <c r="K387" s="663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08" t="s">
        <v>2462</v>
      </c>
      <c r="B388" s="708" t="s">
        <v>662</v>
      </c>
      <c r="C388" s="710">
        <v>269615.8</v>
      </c>
      <c r="D388" s="710">
        <v>0</v>
      </c>
      <c r="E388" s="710">
        <v>269615.8</v>
      </c>
      <c r="F388" s="708" t="s">
        <v>2014</v>
      </c>
      <c r="G388" s="708" t="s">
        <v>624</v>
      </c>
      <c r="H388" s="664"/>
      <c r="I388" s="663"/>
      <c r="J388" s="663"/>
      <c r="K388" s="663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08" t="s">
        <v>1028</v>
      </c>
      <c r="B389" s="708" t="s">
        <v>981</v>
      </c>
      <c r="C389" s="710">
        <v>156396.31</v>
      </c>
      <c r="D389" s="710">
        <v>0</v>
      </c>
      <c r="E389" s="710">
        <v>156396.31</v>
      </c>
      <c r="F389" s="708" t="s">
        <v>2014</v>
      </c>
      <c r="G389" s="708" t="s">
        <v>407</v>
      </c>
      <c r="H389" s="664"/>
      <c r="I389" s="664"/>
      <c r="J389" s="664"/>
      <c r="K389" s="664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08" t="s">
        <v>1871</v>
      </c>
      <c r="B390" s="708" t="s">
        <v>373</v>
      </c>
      <c r="C390" s="710">
        <v>252292.06</v>
      </c>
      <c r="D390" s="710">
        <v>0</v>
      </c>
      <c r="E390" s="710">
        <v>252292.06</v>
      </c>
      <c r="F390" s="708" t="s">
        <v>2014</v>
      </c>
      <c r="G390" s="708" t="s">
        <v>625</v>
      </c>
      <c r="H390" s="664"/>
      <c r="I390" s="663"/>
      <c r="J390" s="663"/>
      <c r="K390" s="663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08" t="s">
        <v>1707</v>
      </c>
      <c r="B391" s="708" t="s">
        <v>1708</v>
      </c>
      <c r="C391" s="710">
        <v>17179.48</v>
      </c>
      <c r="D391" s="710">
        <v>980</v>
      </c>
      <c r="E391" s="710">
        <v>18159.48</v>
      </c>
      <c r="F391" s="708" t="s">
        <v>2014</v>
      </c>
      <c r="G391" s="708" t="s">
        <v>625</v>
      </c>
      <c r="H391" s="664"/>
      <c r="I391" s="663"/>
      <c r="J391" s="663"/>
      <c r="K391" s="663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08" t="s">
        <v>1431</v>
      </c>
      <c r="B392" s="708" t="s">
        <v>1432</v>
      </c>
      <c r="C392" s="710">
        <v>21385</v>
      </c>
      <c r="D392" s="710">
        <v>200</v>
      </c>
      <c r="E392" s="710">
        <v>21585</v>
      </c>
      <c r="F392" s="708" t="s">
        <v>2014</v>
      </c>
      <c r="G392" s="708" t="s">
        <v>625</v>
      </c>
      <c r="H392" s="664"/>
      <c r="I392" s="663"/>
      <c r="J392" s="663"/>
      <c r="K392" s="663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08" t="s">
        <v>1714</v>
      </c>
      <c r="B393" s="708" t="s">
        <v>1715</v>
      </c>
      <c r="C393" s="710">
        <v>61724.33</v>
      </c>
      <c r="D393" s="710">
        <v>5243.37</v>
      </c>
      <c r="E393" s="710">
        <v>66967.7</v>
      </c>
      <c r="F393" s="708" t="s">
        <v>2014</v>
      </c>
      <c r="G393" s="708" t="s">
        <v>625</v>
      </c>
      <c r="H393" s="664"/>
      <c r="I393" s="664"/>
      <c r="J393" s="664"/>
      <c r="K393" s="664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08" t="s">
        <v>1642</v>
      </c>
      <c r="B394" s="708" t="s">
        <v>1643</v>
      </c>
      <c r="C394" s="710">
        <v>1100</v>
      </c>
      <c r="D394" s="710">
        <v>0</v>
      </c>
      <c r="E394" s="710">
        <v>1100</v>
      </c>
      <c r="F394" s="708" t="s">
        <v>2014</v>
      </c>
      <c r="G394" s="708" t="s">
        <v>625</v>
      </c>
      <c r="H394" s="664"/>
      <c r="I394" s="663"/>
      <c r="J394" s="663"/>
      <c r="K394" s="663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2" t="s">
        <v>1809</v>
      </c>
      <c r="B395" s="662" t="s">
        <v>1810</v>
      </c>
      <c r="C395" s="663">
        <v>64044</v>
      </c>
      <c r="D395" s="663">
        <v>4976</v>
      </c>
      <c r="E395" s="663">
        <v>69020</v>
      </c>
      <c r="F395" s="662" t="s">
        <v>2014</v>
      </c>
      <c r="G395" s="662" t="s">
        <v>625</v>
      </c>
      <c r="H395" s="657"/>
      <c r="I395" s="656"/>
      <c r="J395" s="656"/>
      <c r="K395" s="656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08" t="s">
        <v>1434</v>
      </c>
      <c r="B396" s="708" t="s">
        <v>663</v>
      </c>
      <c r="C396" s="709">
        <v>62355.46</v>
      </c>
      <c r="D396" s="709">
        <v>0</v>
      </c>
      <c r="E396" s="709">
        <v>62355.46</v>
      </c>
      <c r="F396" s="708" t="s">
        <v>2014</v>
      </c>
      <c r="G396" s="708" t="s">
        <v>626</v>
      </c>
      <c r="H396" s="709"/>
      <c r="I396" s="710"/>
      <c r="J396" s="710"/>
      <c r="K396" s="71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2" t="s">
        <v>2056</v>
      </c>
      <c r="B397" s="662" t="s">
        <v>2057</v>
      </c>
      <c r="C397" s="663">
        <v>380873.28</v>
      </c>
      <c r="D397" s="663">
        <v>0</v>
      </c>
      <c r="E397" s="663">
        <v>380873.28</v>
      </c>
      <c r="F397" s="662" t="s">
        <v>2014</v>
      </c>
      <c r="G397" s="662" t="s">
        <v>2011</v>
      </c>
      <c r="H397" s="657"/>
      <c r="I397" s="656"/>
      <c r="J397" s="656"/>
      <c r="K397" s="656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08" t="s">
        <v>1801</v>
      </c>
      <c r="B398" s="708" t="s">
        <v>664</v>
      </c>
      <c r="C398" s="710">
        <v>57886</v>
      </c>
      <c r="D398" s="710">
        <v>12110</v>
      </c>
      <c r="E398" s="710">
        <v>69996</v>
      </c>
      <c r="F398" s="708" t="s">
        <v>2014</v>
      </c>
      <c r="G398" s="708" t="s">
        <v>2011</v>
      </c>
      <c r="H398" s="664"/>
      <c r="I398" s="663"/>
      <c r="J398" s="663"/>
      <c r="K398" s="663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08" t="s">
        <v>2102</v>
      </c>
      <c r="B399" s="708" t="s">
        <v>2101</v>
      </c>
      <c r="C399" s="710">
        <v>1330</v>
      </c>
      <c r="D399" s="710">
        <v>624</v>
      </c>
      <c r="E399" s="710">
        <v>1954</v>
      </c>
      <c r="F399" s="708" t="s">
        <v>2014</v>
      </c>
      <c r="G399" s="708" t="s">
        <v>2359</v>
      </c>
      <c r="H399" s="664"/>
      <c r="I399" s="663"/>
      <c r="J399" s="663"/>
      <c r="K399" s="663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08" t="s">
        <v>1828</v>
      </c>
      <c r="B400" s="708" t="s">
        <v>973</v>
      </c>
      <c r="C400" s="710">
        <v>999469.43</v>
      </c>
      <c r="D400" s="710">
        <v>57237.95</v>
      </c>
      <c r="E400" s="710">
        <v>1056707.3799999999</v>
      </c>
      <c r="F400" s="708" t="s">
        <v>2014</v>
      </c>
      <c r="G400" s="708" t="s">
        <v>420</v>
      </c>
      <c r="H400" s="664"/>
      <c r="I400" s="663"/>
      <c r="J400" s="663"/>
      <c r="K400" s="663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08" t="s">
        <v>1435</v>
      </c>
      <c r="B401" s="708" t="s">
        <v>975</v>
      </c>
      <c r="C401" s="710">
        <v>998067.06</v>
      </c>
      <c r="D401" s="710">
        <v>34379.480000000003</v>
      </c>
      <c r="E401" s="710">
        <v>1032446.54</v>
      </c>
      <c r="F401" s="708" t="s">
        <v>2014</v>
      </c>
      <c r="G401" s="708" t="s">
        <v>416</v>
      </c>
      <c r="H401" s="664"/>
      <c r="I401" s="663"/>
      <c r="J401" s="663"/>
      <c r="K401" s="663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2" t="s">
        <v>1756</v>
      </c>
      <c r="B402" s="662" t="s">
        <v>946</v>
      </c>
      <c r="C402" s="663">
        <v>17330.91</v>
      </c>
      <c r="D402" s="663">
        <v>3530.3</v>
      </c>
      <c r="E402" s="663">
        <v>20861.21</v>
      </c>
      <c r="F402" s="662" t="s">
        <v>2014</v>
      </c>
      <c r="G402" s="662" t="s">
        <v>420</v>
      </c>
      <c r="H402" s="657"/>
      <c r="I402" s="656"/>
      <c r="J402" s="656"/>
      <c r="K402" s="656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2" t="s">
        <v>1436</v>
      </c>
      <c r="B403" s="662" t="s">
        <v>935</v>
      </c>
      <c r="C403" s="663">
        <v>35533.78</v>
      </c>
      <c r="D403" s="663">
        <v>516.4</v>
      </c>
      <c r="E403" s="663">
        <v>36050.18</v>
      </c>
      <c r="F403" s="662" t="s">
        <v>2014</v>
      </c>
      <c r="G403" s="662" t="s">
        <v>416</v>
      </c>
      <c r="H403" s="657"/>
      <c r="I403" s="656"/>
      <c r="J403" s="656"/>
      <c r="K403" s="656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08" t="s">
        <v>1841</v>
      </c>
      <c r="B404" s="708" t="s">
        <v>665</v>
      </c>
      <c r="C404" s="710">
        <v>1716133.11</v>
      </c>
      <c r="D404" s="710">
        <v>66646.570000000007</v>
      </c>
      <c r="E404" s="710">
        <v>1782779.68</v>
      </c>
      <c r="F404" s="708" t="s">
        <v>2014</v>
      </c>
      <c r="G404" s="708" t="s">
        <v>384</v>
      </c>
      <c r="H404" s="664"/>
      <c r="I404" s="664"/>
      <c r="J404" s="664"/>
      <c r="K404" s="664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08" t="s">
        <v>1738</v>
      </c>
      <c r="B405" s="708" t="s">
        <v>666</v>
      </c>
      <c r="C405" s="710">
        <v>56072</v>
      </c>
      <c r="D405" s="710">
        <v>899.82</v>
      </c>
      <c r="E405" s="710">
        <v>56971.82</v>
      </c>
      <c r="F405" s="708" t="s">
        <v>2014</v>
      </c>
      <c r="G405" s="708" t="s">
        <v>384</v>
      </c>
      <c r="H405" s="602"/>
      <c r="I405" s="601"/>
      <c r="J405" s="601"/>
      <c r="K405" s="601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08" t="s">
        <v>1852</v>
      </c>
      <c r="B406" s="708" t="s">
        <v>1853</v>
      </c>
      <c r="C406" s="710">
        <v>1732896.94</v>
      </c>
      <c r="D406" s="710">
        <v>113811</v>
      </c>
      <c r="E406" s="710">
        <v>1846707.94</v>
      </c>
      <c r="F406" s="708" t="s">
        <v>2014</v>
      </c>
      <c r="G406" s="708" t="s">
        <v>1072</v>
      </c>
      <c r="H406" s="657"/>
      <c r="I406" s="656"/>
      <c r="J406" s="656"/>
      <c r="K406" s="656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08" t="s">
        <v>1854</v>
      </c>
      <c r="B407" s="708" t="s">
        <v>987</v>
      </c>
      <c r="C407" s="709">
        <v>1965731.34</v>
      </c>
      <c r="D407" s="709">
        <v>71999.100000000006</v>
      </c>
      <c r="E407" s="709">
        <v>2037730.44</v>
      </c>
      <c r="F407" s="708" t="s">
        <v>2014</v>
      </c>
      <c r="G407" s="708" t="s">
        <v>398</v>
      </c>
      <c r="H407" s="709"/>
      <c r="I407" s="710"/>
      <c r="J407" s="710"/>
      <c r="K407" s="71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08" t="s">
        <v>1847</v>
      </c>
      <c r="B408" s="708" t="s">
        <v>985</v>
      </c>
      <c r="C408" s="710">
        <v>4043548.02</v>
      </c>
      <c r="D408" s="710">
        <v>322599.90000000002</v>
      </c>
      <c r="E408" s="710">
        <v>4366147.92</v>
      </c>
      <c r="F408" s="708" t="s">
        <v>2014</v>
      </c>
      <c r="G408" s="708" t="s">
        <v>401</v>
      </c>
      <c r="H408" s="664"/>
      <c r="I408" s="663"/>
      <c r="J408" s="663"/>
      <c r="K408" s="663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08" t="s">
        <v>1838</v>
      </c>
      <c r="B409" s="708" t="s">
        <v>974</v>
      </c>
      <c r="C409" s="710">
        <v>1958116.87</v>
      </c>
      <c r="D409" s="710">
        <v>90852.4</v>
      </c>
      <c r="E409" s="710">
        <v>2048969.27</v>
      </c>
      <c r="F409" s="708" t="s">
        <v>2014</v>
      </c>
      <c r="G409" s="708" t="s">
        <v>418</v>
      </c>
      <c r="H409" s="664"/>
      <c r="I409" s="663"/>
      <c r="J409" s="663"/>
      <c r="K409" s="663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08" t="s">
        <v>1836</v>
      </c>
      <c r="B410" s="708" t="s">
        <v>982</v>
      </c>
      <c r="C410" s="709">
        <v>688022.35</v>
      </c>
      <c r="D410" s="709">
        <v>10000</v>
      </c>
      <c r="E410" s="709">
        <v>698022.35</v>
      </c>
      <c r="F410" s="708" t="s">
        <v>2014</v>
      </c>
      <c r="G410" s="708" t="s">
        <v>404</v>
      </c>
      <c r="H410" s="709"/>
      <c r="I410" s="710"/>
      <c r="J410" s="710"/>
      <c r="K410" s="71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08" t="s">
        <v>667</v>
      </c>
      <c r="B411" s="708" t="s">
        <v>668</v>
      </c>
      <c r="C411" s="709">
        <v>399371.92</v>
      </c>
      <c r="D411" s="709">
        <v>0</v>
      </c>
      <c r="E411" s="709">
        <v>399371.92</v>
      </c>
      <c r="F411" s="708" t="s">
        <v>2014</v>
      </c>
      <c r="G411" s="708" t="s">
        <v>629</v>
      </c>
      <c r="H411" s="709"/>
      <c r="I411" s="710"/>
      <c r="J411" s="710"/>
      <c r="K411" s="71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2" t="s">
        <v>1437</v>
      </c>
      <c r="B412" s="662" t="s">
        <v>986</v>
      </c>
      <c r="C412" s="663">
        <v>3564781.86</v>
      </c>
      <c r="D412" s="663">
        <v>166423.28</v>
      </c>
      <c r="E412" s="663">
        <v>3731205.14</v>
      </c>
      <c r="F412" s="662" t="s">
        <v>2014</v>
      </c>
      <c r="G412" s="662" t="s">
        <v>400</v>
      </c>
      <c r="H412" s="657"/>
      <c r="I412" s="656"/>
      <c r="J412" s="656"/>
      <c r="K412" s="656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08" t="s">
        <v>1672</v>
      </c>
      <c r="B413" s="708" t="s">
        <v>911</v>
      </c>
      <c r="C413" s="710">
        <v>55775.13</v>
      </c>
      <c r="D413" s="710">
        <v>400.6</v>
      </c>
      <c r="E413" s="710">
        <v>56175.73</v>
      </c>
      <c r="F413" s="708" t="s">
        <v>2014</v>
      </c>
      <c r="G413" s="708" t="s">
        <v>418</v>
      </c>
      <c r="H413" s="664"/>
      <c r="I413" s="663"/>
      <c r="J413" s="663"/>
      <c r="K413" s="663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08" t="s">
        <v>1733</v>
      </c>
      <c r="B414" s="708" t="s">
        <v>917</v>
      </c>
      <c r="C414" s="710">
        <v>39664.68</v>
      </c>
      <c r="D414" s="710">
        <v>676.6</v>
      </c>
      <c r="E414" s="710">
        <v>40341.279999999999</v>
      </c>
      <c r="F414" s="708" t="s">
        <v>2014</v>
      </c>
      <c r="G414" s="708" t="s">
        <v>404</v>
      </c>
      <c r="H414" s="602"/>
      <c r="I414" s="602"/>
      <c r="J414" s="602"/>
      <c r="K414" s="602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08" t="s">
        <v>1646</v>
      </c>
      <c r="B415" s="708" t="s">
        <v>1647</v>
      </c>
      <c r="C415" s="710">
        <v>3934.9</v>
      </c>
      <c r="D415" s="710">
        <v>140</v>
      </c>
      <c r="E415" s="710">
        <v>4074.9</v>
      </c>
      <c r="F415" s="708" t="s">
        <v>2014</v>
      </c>
      <c r="G415" s="708" t="s">
        <v>1012</v>
      </c>
      <c r="H415" s="657"/>
      <c r="I415" s="656"/>
      <c r="J415" s="656"/>
      <c r="K415" s="656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08" t="s">
        <v>999</v>
      </c>
      <c r="B416" s="708" t="s">
        <v>1000</v>
      </c>
      <c r="C416" s="710">
        <v>129418.12</v>
      </c>
      <c r="D416" s="710">
        <v>0</v>
      </c>
      <c r="E416" s="710">
        <v>129418.12</v>
      </c>
      <c r="F416" s="708" t="s">
        <v>2014</v>
      </c>
      <c r="G416" s="708" t="s">
        <v>995</v>
      </c>
      <c r="H416" s="664"/>
      <c r="I416" s="663"/>
      <c r="J416" s="663"/>
      <c r="K416" s="663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08" t="s">
        <v>1439</v>
      </c>
      <c r="B417" s="708" t="s">
        <v>669</v>
      </c>
      <c r="C417" s="709">
        <v>1225</v>
      </c>
      <c r="D417" s="709">
        <v>1250</v>
      </c>
      <c r="E417" s="709">
        <v>2475</v>
      </c>
      <c r="F417" s="708" t="s">
        <v>2014</v>
      </c>
      <c r="G417" s="708" t="s">
        <v>1012</v>
      </c>
      <c r="H417" s="709"/>
      <c r="I417" s="710"/>
      <c r="J417" s="710"/>
      <c r="K417" s="71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08" t="s">
        <v>1687</v>
      </c>
      <c r="B418" s="708" t="s">
        <v>1032</v>
      </c>
      <c r="C418" s="709">
        <v>5800</v>
      </c>
      <c r="D418" s="709">
        <v>0</v>
      </c>
      <c r="E418" s="709">
        <v>5800</v>
      </c>
      <c r="F418" s="708" t="s">
        <v>2014</v>
      </c>
      <c r="G418" s="708" t="s">
        <v>1012</v>
      </c>
      <c r="H418" s="709"/>
      <c r="I418" s="710"/>
      <c r="J418" s="710"/>
      <c r="K418" s="71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08" t="s">
        <v>2019</v>
      </c>
      <c r="B419" s="708" t="s">
        <v>2020</v>
      </c>
      <c r="C419" s="710">
        <v>2322.5</v>
      </c>
      <c r="D419" s="710">
        <v>0</v>
      </c>
      <c r="E419" s="710">
        <v>2322.5</v>
      </c>
      <c r="F419" s="708" t="s">
        <v>2014</v>
      </c>
      <c r="G419" s="708" t="s">
        <v>1012</v>
      </c>
      <c r="H419" s="664"/>
      <c r="I419" s="663"/>
      <c r="J419" s="663"/>
      <c r="K419" s="663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08" t="s">
        <v>1446</v>
      </c>
      <c r="B420" s="708" t="s">
        <v>1447</v>
      </c>
      <c r="C420" s="710">
        <v>2100</v>
      </c>
      <c r="D420" s="710">
        <v>70</v>
      </c>
      <c r="E420" s="710">
        <v>2170</v>
      </c>
      <c r="F420" s="708" t="s">
        <v>2014</v>
      </c>
      <c r="G420" s="708" t="s">
        <v>374</v>
      </c>
      <c r="H420" s="664"/>
      <c r="I420" s="663"/>
      <c r="J420" s="663"/>
      <c r="K420" s="663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08" t="s">
        <v>2104</v>
      </c>
      <c r="B421" s="708" t="s">
        <v>2103</v>
      </c>
      <c r="C421" s="709">
        <v>440</v>
      </c>
      <c r="D421" s="709">
        <v>0</v>
      </c>
      <c r="E421" s="709">
        <v>440</v>
      </c>
      <c r="F421" s="708" t="s">
        <v>2014</v>
      </c>
      <c r="G421" s="708" t="s">
        <v>374</v>
      </c>
      <c r="H421" s="709"/>
      <c r="I421" s="710"/>
      <c r="J421" s="710"/>
      <c r="K421" s="71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08" t="s">
        <v>1815</v>
      </c>
      <c r="B422" s="708" t="s">
        <v>964</v>
      </c>
      <c r="C422" s="710">
        <v>106694</v>
      </c>
      <c r="D422" s="710">
        <v>13202</v>
      </c>
      <c r="E422" s="710">
        <v>119896</v>
      </c>
      <c r="F422" s="708" t="s">
        <v>2014</v>
      </c>
      <c r="G422" s="708" t="s">
        <v>368</v>
      </c>
      <c r="H422" s="664"/>
      <c r="I422" s="663"/>
      <c r="J422" s="663"/>
      <c r="K422" s="663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08" t="s">
        <v>1451</v>
      </c>
      <c r="B423" s="708" t="s">
        <v>670</v>
      </c>
      <c r="C423" s="710">
        <v>266411.59000000003</v>
      </c>
      <c r="D423" s="710">
        <v>0</v>
      </c>
      <c r="E423" s="710">
        <v>266411.59000000003</v>
      </c>
      <c r="F423" s="708" t="s">
        <v>2014</v>
      </c>
      <c r="G423" s="708" t="s">
        <v>631</v>
      </c>
      <c r="H423" s="664"/>
      <c r="I423" s="663"/>
      <c r="J423" s="663"/>
      <c r="K423" s="663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08" t="s">
        <v>671</v>
      </c>
      <c r="B424" s="708" t="s">
        <v>672</v>
      </c>
      <c r="C424" s="710">
        <v>318712.96000000002</v>
      </c>
      <c r="D424" s="710">
        <v>0</v>
      </c>
      <c r="E424" s="710">
        <v>318712.96000000002</v>
      </c>
      <c r="F424" s="708" t="s">
        <v>2014</v>
      </c>
      <c r="G424" s="708" t="s">
        <v>633</v>
      </c>
      <c r="H424" s="664"/>
      <c r="I424" s="663"/>
      <c r="J424" s="663"/>
      <c r="K424" s="663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08" t="s">
        <v>1988</v>
      </c>
      <c r="B425" s="708" t="s">
        <v>1989</v>
      </c>
      <c r="C425" s="709">
        <v>63435</v>
      </c>
      <c r="D425" s="709">
        <v>0</v>
      </c>
      <c r="E425" s="709">
        <v>63435</v>
      </c>
      <c r="F425" s="708" t="s">
        <v>2014</v>
      </c>
      <c r="G425" s="708" t="s">
        <v>368</v>
      </c>
      <c r="H425" s="709"/>
      <c r="I425" s="710"/>
      <c r="J425" s="710"/>
      <c r="K425" s="71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08" t="s">
        <v>2370</v>
      </c>
      <c r="B426" s="708" t="s">
        <v>2371</v>
      </c>
      <c r="C426" s="710">
        <v>1740</v>
      </c>
      <c r="D426" s="710">
        <v>624</v>
      </c>
      <c r="E426" s="710">
        <v>2364</v>
      </c>
      <c r="F426" s="708" t="s">
        <v>2014</v>
      </c>
      <c r="G426" s="708" t="s">
        <v>2360</v>
      </c>
      <c r="H426" s="664"/>
      <c r="I426" s="664"/>
      <c r="J426" s="664"/>
      <c r="K426" s="664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08" t="s">
        <v>2149</v>
      </c>
      <c r="B427" s="708" t="s">
        <v>2150</v>
      </c>
      <c r="C427" s="710">
        <v>25100</v>
      </c>
      <c r="D427" s="710">
        <v>1310</v>
      </c>
      <c r="E427" s="710">
        <v>26410</v>
      </c>
      <c r="F427" s="708" t="s">
        <v>2014</v>
      </c>
      <c r="G427" s="708" t="s">
        <v>1012</v>
      </c>
      <c r="H427" s="664"/>
      <c r="I427" s="663"/>
      <c r="J427" s="663"/>
      <c r="K427" s="663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08" t="s">
        <v>2132</v>
      </c>
      <c r="B428" s="708" t="s">
        <v>2133</v>
      </c>
      <c r="C428" s="709">
        <v>205</v>
      </c>
      <c r="D428" s="709">
        <v>0</v>
      </c>
      <c r="E428" s="709">
        <v>205</v>
      </c>
      <c r="F428" s="708" t="s">
        <v>2014</v>
      </c>
      <c r="G428" s="708" t="s">
        <v>1012</v>
      </c>
      <c r="H428" s="709"/>
      <c r="I428" s="710"/>
      <c r="J428" s="710"/>
      <c r="K428" s="71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08" t="s">
        <v>2070</v>
      </c>
      <c r="B429" s="708" t="s">
        <v>2071</v>
      </c>
      <c r="C429" s="710">
        <v>2470</v>
      </c>
      <c r="D429" s="710">
        <v>40</v>
      </c>
      <c r="E429" s="710">
        <v>2510</v>
      </c>
      <c r="F429" s="708" t="s">
        <v>2014</v>
      </c>
      <c r="G429" s="708" t="s">
        <v>1012</v>
      </c>
      <c r="H429" s="664"/>
      <c r="I429" s="663"/>
      <c r="J429" s="663"/>
      <c r="K429" s="663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08" t="s">
        <v>1955</v>
      </c>
      <c r="B430" s="708" t="s">
        <v>1956</v>
      </c>
      <c r="C430" s="709">
        <v>2870</v>
      </c>
      <c r="D430" s="709">
        <v>70</v>
      </c>
      <c r="E430" s="709">
        <v>2940</v>
      </c>
      <c r="F430" s="708" t="s">
        <v>2014</v>
      </c>
      <c r="G430" s="708" t="s">
        <v>1012</v>
      </c>
      <c r="H430" s="709"/>
      <c r="I430" s="710"/>
      <c r="J430" s="710"/>
      <c r="K430" s="71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08" t="s">
        <v>2402</v>
      </c>
      <c r="B431" s="708" t="s">
        <v>2403</v>
      </c>
      <c r="C431" s="710">
        <v>2188.1999999999998</v>
      </c>
      <c r="D431" s="710">
        <v>0</v>
      </c>
      <c r="E431" s="710">
        <v>2188.1999999999998</v>
      </c>
      <c r="F431" s="708" t="s">
        <v>2014</v>
      </c>
      <c r="G431" s="708" t="s">
        <v>1012</v>
      </c>
      <c r="H431" s="709"/>
      <c r="I431" s="709"/>
      <c r="J431" s="709"/>
      <c r="K431" s="70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08" t="s">
        <v>1452</v>
      </c>
      <c r="B432" s="708" t="s">
        <v>673</v>
      </c>
      <c r="C432" s="710">
        <v>17286</v>
      </c>
      <c r="D432" s="710">
        <v>0</v>
      </c>
      <c r="E432" s="710">
        <v>17286</v>
      </c>
      <c r="F432" s="708" t="s">
        <v>2014</v>
      </c>
      <c r="G432" s="708" t="s">
        <v>366</v>
      </c>
      <c r="H432" s="664"/>
      <c r="I432" s="663"/>
      <c r="J432" s="663"/>
      <c r="K432" s="663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08" t="s">
        <v>1696</v>
      </c>
      <c r="B433" s="708" t="s">
        <v>844</v>
      </c>
      <c r="C433" s="710">
        <v>110.65</v>
      </c>
      <c r="D433" s="710">
        <v>0</v>
      </c>
      <c r="E433" s="710">
        <v>110.65</v>
      </c>
      <c r="F433" s="708" t="s">
        <v>2014</v>
      </c>
      <c r="G433" s="708" t="s">
        <v>450</v>
      </c>
      <c r="H433" s="664"/>
      <c r="I433" s="663"/>
      <c r="J433" s="663"/>
      <c r="K433" s="663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08" t="s">
        <v>2191</v>
      </c>
      <c r="B434" s="708" t="s">
        <v>2192</v>
      </c>
      <c r="C434" s="709">
        <v>49831.09</v>
      </c>
      <c r="D434" s="709">
        <v>1844.5</v>
      </c>
      <c r="E434" s="709">
        <v>51675.59</v>
      </c>
      <c r="F434" s="708" t="s">
        <v>2014</v>
      </c>
      <c r="G434" s="708" t="s">
        <v>450</v>
      </c>
      <c r="H434" s="709"/>
      <c r="I434" s="710"/>
      <c r="J434" s="710"/>
      <c r="K434" s="71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08" t="s">
        <v>1746</v>
      </c>
      <c r="B435" s="708" t="s">
        <v>1747</v>
      </c>
      <c r="C435" s="710">
        <v>59292.89</v>
      </c>
      <c r="D435" s="710">
        <v>3787.23</v>
      </c>
      <c r="E435" s="710">
        <v>63080.12</v>
      </c>
      <c r="F435" s="708" t="s">
        <v>2014</v>
      </c>
      <c r="G435" s="708" t="s">
        <v>1116</v>
      </c>
      <c r="H435" s="664"/>
      <c r="I435" s="663"/>
      <c r="J435" s="663"/>
      <c r="K435" s="663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08" t="s">
        <v>1735</v>
      </c>
      <c r="B436" s="708" t="s">
        <v>967</v>
      </c>
      <c r="C436" s="709">
        <v>58749.120000000003</v>
      </c>
      <c r="D436" s="709">
        <v>2333.3000000000002</v>
      </c>
      <c r="E436" s="709">
        <v>61082.42</v>
      </c>
      <c r="F436" s="708" t="s">
        <v>2014</v>
      </c>
      <c r="G436" s="708" t="s">
        <v>1116</v>
      </c>
      <c r="H436" s="709"/>
      <c r="I436" s="710"/>
      <c r="J436" s="710"/>
      <c r="K436" s="71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08" t="s">
        <v>1058</v>
      </c>
      <c r="B437" s="708" t="s">
        <v>837</v>
      </c>
      <c r="C437" s="710">
        <v>3111.29</v>
      </c>
      <c r="D437" s="710">
        <v>50.7</v>
      </c>
      <c r="E437" s="710">
        <v>3161.99</v>
      </c>
      <c r="F437" s="708" t="s">
        <v>2014</v>
      </c>
      <c r="G437" s="708" t="s">
        <v>1116</v>
      </c>
      <c r="H437" s="664"/>
      <c r="I437" s="663"/>
      <c r="J437" s="663"/>
      <c r="K437" s="663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08" t="s">
        <v>1768</v>
      </c>
      <c r="B438" s="708" t="s">
        <v>1769</v>
      </c>
      <c r="C438" s="709">
        <v>31680.240000000002</v>
      </c>
      <c r="D438" s="709">
        <v>2315.16</v>
      </c>
      <c r="E438" s="709">
        <v>33995.4</v>
      </c>
      <c r="F438" s="708" t="s">
        <v>2014</v>
      </c>
      <c r="G438" s="708" t="s">
        <v>1110</v>
      </c>
      <c r="H438" s="709"/>
      <c r="I438" s="710"/>
      <c r="J438" s="710"/>
      <c r="K438" s="71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9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08" t="s">
        <v>1785</v>
      </c>
      <c r="B439" s="708" t="s">
        <v>912</v>
      </c>
      <c r="C439" s="710">
        <v>37005.54</v>
      </c>
      <c r="D439" s="710">
        <v>2877.24</v>
      </c>
      <c r="E439" s="710">
        <v>39882.78</v>
      </c>
      <c r="F439" s="708" t="s">
        <v>2014</v>
      </c>
      <c r="G439" s="708" t="s">
        <v>1110</v>
      </c>
      <c r="H439" s="664"/>
      <c r="I439" s="663"/>
      <c r="J439" s="663"/>
      <c r="K439" s="663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08" t="s">
        <v>1683</v>
      </c>
      <c r="B440" s="708" t="s">
        <v>886</v>
      </c>
      <c r="C440" s="710">
        <v>8351.6</v>
      </c>
      <c r="D440" s="710">
        <v>352.6</v>
      </c>
      <c r="E440" s="710">
        <v>8704.2000000000007</v>
      </c>
      <c r="F440" s="708" t="s">
        <v>2014</v>
      </c>
      <c r="G440" s="708" t="s">
        <v>441</v>
      </c>
      <c r="H440" s="664"/>
      <c r="I440" s="663"/>
      <c r="J440" s="663"/>
      <c r="K440" s="663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4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08" t="s">
        <v>1713</v>
      </c>
      <c r="B441" s="708" t="s">
        <v>905</v>
      </c>
      <c r="C441" s="709">
        <v>15101.46</v>
      </c>
      <c r="D441" s="709">
        <v>1162.51</v>
      </c>
      <c r="E441" s="709">
        <v>16263.97</v>
      </c>
      <c r="F441" s="708" t="s">
        <v>2014</v>
      </c>
      <c r="G441" s="708" t="s">
        <v>441</v>
      </c>
      <c r="H441" s="709"/>
      <c r="I441" s="710"/>
      <c r="J441" s="710"/>
      <c r="K441" s="71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08" t="s">
        <v>1620</v>
      </c>
      <c r="B442" s="708" t="s">
        <v>822</v>
      </c>
      <c r="C442" s="710">
        <v>431.38</v>
      </c>
      <c r="D442" s="710">
        <v>2.06</v>
      </c>
      <c r="E442" s="710">
        <v>433.44</v>
      </c>
      <c r="F442" s="708" t="s">
        <v>2014</v>
      </c>
      <c r="G442" s="708" t="s">
        <v>441</v>
      </c>
      <c r="H442" s="664"/>
      <c r="I442" s="663"/>
      <c r="J442" s="663"/>
      <c r="K442" s="663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08" t="s">
        <v>1033</v>
      </c>
      <c r="B443" s="708" t="s">
        <v>777</v>
      </c>
      <c r="C443" s="710">
        <v>4856.55</v>
      </c>
      <c r="D443" s="710">
        <v>978.82</v>
      </c>
      <c r="E443" s="710">
        <v>5835.37</v>
      </c>
      <c r="F443" s="708" t="s">
        <v>2014</v>
      </c>
      <c r="G443" s="708" t="s">
        <v>1110</v>
      </c>
      <c r="H443" s="664"/>
      <c r="I443" s="663"/>
      <c r="J443" s="663"/>
      <c r="K443" s="663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08" t="s">
        <v>1721</v>
      </c>
      <c r="B444" s="708" t="s">
        <v>1722</v>
      </c>
      <c r="C444" s="710">
        <v>37685.919999999998</v>
      </c>
      <c r="D444" s="710">
        <v>1166.32</v>
      </c>
      <c r="E444" s="710">
        <v>38852.239999999998</v>
      </c>
      <c r="F444" s="708" t="s">
        <v>2014</v>
      </c>
      <c r="G444" s="708" t="s">
        <v>1139</v>
      </c>
      <c r="H444" s="664"/>
      <c r="I444" s="663"/>
      <c r="J444" s="663"/>
      <c r="K444" s="663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08" t="s">
        <v>1725</v>
      </c>
      <c r="B445" s="708" t="s">
        <v>923</v>
      </c>
      <c r="C445" s="709">
        <v>25663.13</v>
      </c>
      <c r="D445" s="709">
        <v>1685.69</v>
      </c>
      <c r="E445" s="709">
        <v>27348.82</v>
      </c>
      <c r="F445" s="708" t="s">
        <v>2014</v>
      </c>
      <c r="G445" s="708" t="s">
        <v>1139</v>
      </c>
      <c r="H445" s="709"/>
      <c r="I445" s="710"/>
      <c r="J445" s="710"/>
      <c r="K445" s="71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08" t="s">
        <v>1057</v>
      </c>
      <c r="B446" s="708" t="s">
        <v>780</v>
      </c>
      <c r="C446" s="710">
        <v>4365.59</v>
      </c>
      <c r="D446" s="710">
        <v>221.63</v>
      </c>
      <c r="E446" s="710">
        <v>4587.22</v>
      </c>
      <c r="F446" s="708" t="s">
        <v>2014</v>
      </c>
      <c r="G446" s="708" t="s">
        <v>1139</v>
      </c>
      <c r="H446" s="664"/>
      <c r="I446" s="663"/>
      <c r="J446" s="663"/>
      <c r="K446" s="663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08" t="s">
        <v>2177</v>
      </c>
      <c r="B447" s="708" t="s">
        <v>2178</v>
      </c>
      <c r="C447" s="710">
        <v>84608.31</v>
      </c>
      <c r="D447" s="710">
        <v>4902</v>
      </c>
      <c r="E447" s="710">
        <v>89510.31</v>
      </c>
      <c r="F447" s="708" t="s">
        <v>2014</v>
      </c>
      <c r="G447" s="708" t="s">
        <v>1139</v>
      </c>
      <c r="H447" s="664"/>
      <c r="I447" s="664"/>
      <c r="J447" s="664"/>
      <c r="K447" s="664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08" t="s">
        <v>2179</v>
      </c>
      <c r="B448" s="708" t="s">
        <v>2180</v>
      </c>
      <c r="C448" s="710">
        <v>42034.99</v>
      </c>
      <c r="D448" s="710">
        <v>2146</v>
      </c>
      <c r="E448" s="710">
        <v>44180.99</v>
      </c>
      <c r="F448" s="708" t="s">
        <v>2014</v>
      </c>
      <c r="G448" s="708" t="s">
        <v>1139</v>
      </c>
      <c r="H448" s="664"/>
      <c r="I448" s="663"/>
      <c r="J448" s="663"/>
      <c r="K448" s="663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08" t="s">
        <v>2240</v>
      </c>
      <c r="B449" s="708" t="s">
        <v>2239</v>
      </c>
      <c r="C449" s="710">
        <v>4256.5</v>
      </c>
      <c r="D449" s="710">
        <v>1405</v>
      </c>
      <c r="E449" s="710">
        <v>5661.5</v>
      </c>
      <c r="F449" s="708" t="s">
        <v>2014</v>
      </c>
      <c r="G449" s="708" t="s">
        <v>1139</v>
      </c>
      <c r="H449" s="664"/>
      <c r="I449" s="663"/>
      <c r="J449" s="663"/>
      <c r="K449" s="663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08" t="s">
        <v>1764</v>
      </c>
      <c r="B450" s="708" t="s">
        <v>1765</v>
      </c>
      <c r="C450" s="710">
        <v>18607.55</v>
      </c>
      <c r="D450" s="710">
        <v>2665.05</v>
      </c>
      <c r="E450" s="710">
        <v>21272.6</v>
      </c>
      <c r="F450" s="708" t="s">
        <v>2014</v>
      </c>
      <c r="G450" s="708" t="s">
        <v>1143</v>
      </c>
      <c r="H450" s="664"/>
      <c r="I450" s="663"/>
      <c r="J450" s="663"/>
      <c r="K450" s="663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08" t="s">
        <v>1775</v>
      </c>
      <c r="B451" s="708" t="s">
        <v>898</v>
      </c>
      <c r="C451" s="710">
        <v>17245.54</v>
      </c>
      <c r="D451" s="710">
        <v>820</v>
      </c>
      <c r="E451" s="710">
        <v>18065.54</v>
      </c>
      <c r="F451" s="708" t="s">
        <v>2014</v>
      </c>
      <c r="G451" s="708" t="s">
        <v>1143</v>
      </c>
      <c r="H451" s="664"/>
      <c r="I451" s="663"/>
      <c r="J451" s="663"/>
      <c r="K451" s="663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08" t="s">
        <v>674</v>
      </c>
      <c r="B452" s="708" t="s">
        <v>675</v>
      </c>
      <c r="C452" s="709">
        <v>7881.02</v>
      </c>
      <c r="D452" s="709">
        <v>5040</v>
      </c>
      <c r="E452" s="709">
        <v>12921.02</v>
      </c>
      <c r="F452" s="708" t="s">
        <v>2014</v>
      </c>
      <c r="G452" s="708" t="s">
        <v>1143</v>
      </c>
      <c r="H452" s="709"/>
      <c r="I452" s="710"/>
      <c r="J452" s="710"/>
      <c r="K452" s="71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08" t="s">
        <v>1652</v>
      </c>
      <c r="B453" s="708" t="s">
        <v>1653</v>
      </c>
      <c r="C453" s="710">
        <v>11350.93</v>
      </c>
      <c r="D453" s="710">
        <v>1217.83</v>
      </c>
      <c r="E453" s="710">
        <v>12568.76</v>
      </c>
      <c r="F453" s="708" t="s">
        <v>2014</v>
      </c>
      <c r="G453" s="708" t="s">
        <v>2253</v>
      </c>
      <c r="H453" s="664"/>
      <c r="I453" s="663"/>
      <c r="J453" s="663"/>
      <c r="K453" s="663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08" t="s">
        <v>1635</v>
      </c>
      <c r="B454" s="708" t="s">
        <v>1636</v>
      </c>
      <c r="C454" s="710">
        <v>7567.3</v>
      </c>
      <c r="D454" s="710">
        <v>811.89</v>
      </c>
      <c r="E454" s="710">
        <v>8379.19</v>
      </c>
      <c r="F454" s="708" t="s">
        <v>2014</v>
      </c>
      <c r="G454" s="708" t="s">
        <v>2253</v>
      </c>
      <c r="H454" s="664"/>
      <c r="I454" s="663"/>
      <c r="J454" s="663"/>
      <c r="K454" s="663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2" t="s">
        <v>1803</v>
      </c>
      <c r="B455" s="662" t="s">
        <v>1804</v>
      </c>
      <c r="C455" s="663">
        <v>149634.19</v>
      </c>
      <c r="D455" s="663">
        <v>11429.08</v>
      </c>
      <c r="E455" s="663">
        <v>161063.26999999999</v>
      </c>
      <c r="F455" s="662" t="s">
        <v>2014</v>
      </c>
      <c r="G455" s="662" t="s">
        <v>1120</v>
      </c>
      <c r="H455" s="657"/>
      <c r="I455" s="656"/>
      <c r="J455" s="656"/>
      <c r="K455" s="656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08" t="s">
        <v>1784</v>
      </c>
      <c r="B456" s="708" t="s">
        <v>960</v>
      </c>
      <c r="C456" s="710">
        <v>186415.81</v>
      </c>
      <c r="D456" s="710">
        <v>11703.21</v>
      </c>
      <c r="E456" s="710">
        <v>198119.02</v>
      </c>
      <c r="F456" s="708" t="s">
        <v>2014</v>
      </c>
      <c r="G456" s="708" t="s">
        <v>1120</v>
      </c>
      <c r="H456" s="664"/>
      <c r="I456" s="663"/>
      <c r="J456" s="663"/>
      <c r="K456" s="663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08" t="s">
        <v>1606</v>
      </c>
      <c r="B457" s="708" t="s">
        <v>880</v>
      </c>
      <c r="C457" s="710">
        <v>7857.83</v>
      </c>
      <c r="D457" s="710">
        <v>761.75</v>
      </c>
      <c r="E457" s="710">
        <v>8619.58</v>
      </c>
      <c r="F457" s="708" t="s">
        <v>2014</v>
      </c>
      <c r="G457" s="708" t="s">
        <v>1120</v>
      </c>
      <c r="H457" s="664"/>
      <c r="I457" s="663"/>
      <c r="J457" s="663"/>
      <c r="K457" s="663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08" t="s">
        <v>2085</v>
      </c>
      <c r="B458" s="708" t="s">
        <v>2086</v>
      </c>
      <c r="C458" s="710">
        <v>1513.96</v>
      </c>
      <c r="D458" s="710">
        <v>0</v>
      </c>
      <c r="E458" s="710">
        <v>1513.96</v>
      </c>
      <c r="F458" s="708" t="s">
        <v>2014</v>
      </c>
      <c r="G458" s="708" t="s">
        <v>2082</v>
      </c>
      <c r="H458" s="664"/>
      <c r="I458" s="663"/>
      <c r="J458" s="663"/>
      <c r="K458" s="663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08" t="s">
        <v>2423</v>
      </c>
      <c r="B459" s="708" t="s">
        <v>2424</v>
      </c>
      <c r="C459" s="709">
        <v>55.77</v>
      </c>
      <c r="D459" s="709">
        <v>0</v>
      </c>
      <c r="E459" s="709">
        <v>55.77</v>
      </c>
      <c r="F459" s="708" t="s">
        <v>2014</v>
      </c>
      <c r="G459" s="708" t="s">
        <v>2082</v>
      </c>
      <c r="H459" s="709"/>
      <c r="I459" s="710"/>
      <c r="J459" s="710"/>
      <c r="K459" s="71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08" t="s">
        <v>1831</v>
      </c>
      <c r="B460" s="708" t="s">
        <v>1832</v>
      </c>
      <c r="C460" s="709">
        <v>144850.04999999999</v>
      </c>
      <c r="D460" s="709">
        <v>20385.150000000001</v>
      </c>
      <c r="E460" s="709">
        <v>165235.20000000001</v>
      </c>
      <c r="F460" s="708" t="s">
        <v>2014</v>
      </c>
      <c r="G460" s="708" t="s">
        <v>1096</v>
      </c>
      <c r="H460" s="709"/>
      <c r="I460" s="710"/>
      <c r="J460" s="710"/>
      <c r="K460" s="71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08" t="s">
        <v>1826</v>
      </c>
      <c r="B461" s="708" t="s">
        <v>841</v>
      </c>
      <c r="C461" s="709">
        <v>191159.07</v>
      </c>
      <c r="D461" s="709">
        <v>23676.55</v>
      </c>
      <c r="E461" s="709">
        <v>214835.62</v>
      </c>
      <c r="F461" s="708" t="s">
        <v>2014</v>
      </c>
      <c r="G461" s="708" t="s">
        <v>1096</v>
      </c>
      <c r="H461" s="709"/>
      <c r="I461" s="710"/>
      <c r="J461" s="710"/>
      <c r="K461" s="71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08" t="s">
        <v>1710</v>
      </c>
      <c r="B462" s="708" t="s">
        <v>954</v>
      </c>
      <c r="C462" s="710">
        <v>16193.59</v>
      </c>
      <c r="D462" s="710">
        <v>972.6</v>
      </c>
      <c r="E462" s="710">
        <v>17166.189999999999</v>
      </c>
      <c r="F462" s="708" t="s">
        <v>2014</v>
      </c>
      <c r="G462" s="708" t="s">
        <v>434</v>
      </c>
      <c r="H462" s="664"/>
      <c r="I462" s="663"/>
      <c r="J462" s="663"/>
      <c r="K462" s="663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08" t="s">
        <v>1759</v>
      </c>
      <c r="B463" s="708" t="s">
        <v>845</v>
      </c>
      <c r="C463" s="710">
        <v>31033.55</v>
      </c>
      <c r="D463" s="710">
        <v>3755.85</v>
      </c>
      <c r="E463" s="710">
        <v>34789.4</v>
      </c>
      <c r="F463" s="708" t="s">
        <v>2014</v>
      </c>
      <c r="G463" s="708" t="s">
        <v>434</v>
      </c>
      <c r="H463" s="664"/>
      <c r="I463" s="663"/>
      <c r="J463" s="663"/>
      <c r="K463" s="663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08" t="s">
        <v>1034</v>
      </c>
      <c r="B464" s="708" t="s">
        <v>676</v>
      </c>
      <c r="C464" s="710">
        <v>23366.23</v>
      </c>
      <c r="D464" s="710">
        <v>2917.47</v>
      </c>
      <c r="E464" s="710">
        <v>26283.7</v>
      </c>
      <c r="F464" s="708" t="s">
        <v>2014</v>
      </c>
      <c r="G464" s="708" t="s">
        <v>1096</v>
      </c>
      <c r="H464" s="664"/>
      <c r="I464" s="663"/>
      <c r="J464" s="663"/>
      <c r="K464" s="663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08" t="s">
        <v>1754</v>
      </c>
      <c r="B465" s="708" t="s">
        <v>1755</v>
      </c>
      <c r="C465" s="709">
        <v>53456.67</v>
      </c>
      <c r="D465" s="709">
        <v>9213.7000000000007</v>
      </c>
      <c r="E465" s="709">
        <v>62670.37</v>
      </c>
      <c r="F465" s="708" t="s">
        <v>2014</v>
      </c>
      <c r="G465" s="708" t="s">
        <v>1132</v>
      </c>
      <c r="H465" s="709"/>
      <c r="I465" s="710"/>
      <c r="J465" s="710"/>
      <c r="K465" s="71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08" t="s">
        <v>1798</v>
      </c>
      <c r="B466" s="708" t="s">
        <v>909</v>
      </c>
      <c r="C466" s="709">
        <v>50505.83</v>
      </c>
      <c r="D466" s="709">
        <v>1975.59</v>
      </c>
      <c r="E466" s="709">
        <v>52481.42</v>
      </c>
      <c r="F466" s="708" t="s">
        <v>2014</v>
      </c>
      <c r="G466" s="708" t="s">
        <v>1132</v>
      </c>
      <c r="H466" s="709"/>
      <c r="I466" s="710"/>
      <c r="J466" s="710"/>
      <c r="K466" s="71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08" t="s">
        <v>677</v>
      </c>
      <c r="B467" s="708" t="s">
        <v>678</v>
      </c>
      <c r="C467" s="710">
        <v>8053.46</v>
      </c>
      <c r="D467" s="710">
        <v>921.48</v>
      </c>
      <c r="E467" s="710">
        <v>8974.94</v>
      </c>
      <c r="F467" s="708" t="s">
        <v>2014</v>
      </c>
      <c r="G467" s="708" t="s">
        <v>1132</v>
      </c>
      <c r="H467" s="664"/>
      <c r="I467" s="663"/>
      <c r="J467" s="663"/>
      <c r="K467" s="663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08" t="s">
        <v>1807</v>
      </c>
      <c r="B468" s="708" t="s">
        <v>1808</v>
      </c>
      <c r="C468" s="710">
        <v>120984.24</v>
      </c>
      <c r="D468" s="710">
        <v>5647.4</v>
      </c>
      <c r="E468" s="710">
        <v>126631.64</v>
      </c>
      <c r="F468" s="708" t="s">
        <v>2014</v>
      </c>
      <c r="G468" s="708" t="s">
        <v>1118</v>
      </c>
      <c r="H468" s="664"/>
      <c r="I468" s="663"/>
      <c r="J468" s="663"/>
      <c r="K468" s="663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08" t="s">
        <v>1699</v>
      </c>
      <c r="B469" s="708" t="s">
        <v>874</v>
      </c>
      <c r="C469" s="710">
        <v>14737.86</v>
      </c>
      <c r="D469" s="710">
        <v>1105.44</v>
      </c>
      <c r="E469" s="710">
        <v>15843.3</v>
      </c>
      <c r="F469" s="708" t="s">
        <v>2014</v>
      </c>
      <c r="G469" s="708" t="s">
        <v>1118</v>
      </c>
      <c r="H469" s="664"/>
      <c r="I469" s="663"/>
      <c r="J469" s="663"/>
      <c r="K469" s="663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08" t="s">
        <v>1800</v>
      </c>
      <c r="B470" s="708" t="s">
        <v>969</v>
      </c>
      <c r="C470" s="709">
        <v>50051.59</v>
      </c>
      <c r="D470" s="709">
        <v>2822.43</v>
      </c>
      <c r="E470" s="709">
        <v>52874.02</v>
      </c>
      <c r="F470" s="708" t="s">
        <v>2014</v>
      </c>
      <c r="G470" s="708" t="s">
        <v>1118</v>
      </c>
      <c r="H470" s="709"/>
      <c r="I470" s="710"/>
      <c r="J470" s="710"/>
      <c r="K470" s="71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08" t="s">
        <v>1680</v>
      </c>
      <c r="B471" s="708" t="s">
        <v>1681</v>
      </c>
      <c r="C471" s="710">
        <v>406162.11</v>
      </c>
      <c r="D471" s="710">
        <v>50132.33</v>
      </c>
      <c r="E471" s="710">
        <v>456294.44</v>
      </c>
      <c r="F471" s="708" t="s">
        <v>2014</v>
      </c>
      <c r="G471" s="708" t="s">
        <v>1167</v>
      </c>
      <c r="H471" s="709"/>
      <c r="I471" s="709"/>
      <c r="J471" s="709"/>
      <c r="K471" s="70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7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08" t="s">
        <v>2223</v>
      </c>
      <c r="B472" s="708" t="s">
        <v>2224</v>
      </c>
      <c r="C472" s="709">
        <v>0</v>
      </c>
      <c r="D472" s="709">
        <v>-10030.02</v>
      </c>
      <c r="E472" s="709">
        <v>-10030.02</v>
      </c>
      <c r="F472" s="708" t="s">
        <v>2014</v>
      </c>
      <c r="G472" s="708" t="s">
        <v>2224</v>
      </c>
      <c r="H472" s="709"/>
      <c r="I472" s="710"/>
      <c r="J472" s="710"/>
      <c r="K472" s="71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08" t="s">
        <v>1204</v>
      </c>
      <c r="B473" s="708" t="s">
        <v>1205</v>
      </c>
      <c r="C473" s="710">
        <v>-43663.87</v>
      </c>
      <c r="D473" s="710">
        <v>-4903.72</v>
      </c>
      <c r="E473" s="710">
        <v>-48567.59</v>
      </c>
      <c r="F473" s="708" t="s">
        <v>2014</v>
      </c>
      <c r="G473" s="708" t="s">
        <v>2252</v>
      </c>
      <c r="H473" s="600"/>
      <c r="I473" s="601"/>
      <c r="J473" s="601"/>
      <c r="K473" s="601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08" t="s">
        <v>1065</v>
      </c>
      <c r="B474" s="708" t="s">
        <v>364</v>
      </c>
      <c r="C474" s="709">
        <v>379782.8</v>
      </c>
      <c r="D474" s="709">
        <v>0</v>
      </c>
      <c r="E474" s="709">
        <v>379782.8</v>
      </c>
      <c r="F474" s="708" t="s">
        <v>2014</v>
      </c>
      <c r="G474" s="708" t="s">
        <v>637</v>
      </c>
      <c r="H474" s="709"/>
      <c r="I474" s="710"/>
      <c r="J474" s="710"/>
      <c r="K474" s="71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08" t="s">
        <v>679</v>
      </c>
      <c r="B475" s="708" t="s">
        <v>680</v>
      </c>
      <c r="C475" s="710">
        <v>127910.03</v>
      </c>
      <c r="D475" s="710">
        <v>0</v>
      </c>
      <c r="E475" s="710">
        <v>127910.03</v>
      </c>
      <c r="F475" s="708" t="s">
        <v>2014</v>
      </c>
      <c r="G475" s="708" t="s">
        <v>639</v>
      </c>
      <c r="H475" s="657"/>
      <c r="I475" s="656"/>
      <c r="J475" s="656"/>
      <c r="K475" s="656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08" t="s">
        <v>970</v>
      </c>
      <c r="B476" s="708" t="s">
        <v>972</v>
      </c>
      <c r="C476" s="710">
        <v>490103.7</v>
      </c>
      <c r="D476" s="710">
        <v>36382.68</v>
      </c>
      <c r="E476" s="710">
        <v>526486.38</v>
      </c>
      <c r="F476" s="708" t="s">
        <v>2014</v>
      </c>
      <c r="G476" s="708" t="s">
        <v>417</v>
      </c>
      <c r="H476" s="664"/>
      <c r="I476" s="663"/>
      <c r="J476" s="663"/>
      <c r="K476" s="663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08" t="s">
        <v>1763</v>
      </c>
      <c r="B477" s="708" t="s">
        <v>927</v>
      </c>
      <c r="C477" s="710">
        <v>33705.49</v>
      </c>
      <c r="D477" s="710">
        <v>2501.63</v>
      </c>
      <c r="E477" s="710">
        <v>36207.120000000003</v>
      </c>
      <c r="F477" s="708" t="s">
        <v>2014</v>
      </c>
      <c r="G477" s="708" t="s">
        <v>445</v>
      </c>
      <c r="H477" s="664"/>
      <c r="I477" s="663"/>
      <c r="J477" s="663"/>
      <c r="K477" s="663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08" t="s">
        <v>1751</v>
      </c>
      <c r="B478" s="708" t="s">
        <v>1752</v>
      </c>
      <c r="C478" s="709">
        <v>38409.96</v>
      </c>
      <c r="D478" s="709">
        <v>3769.32</v>
      </c>
      <c r="E478" s="709">
        <v>42179.28</v>
      </c>
      <c r="F478" s="708" t="s">
        <v>2014</v>
      </c>
      <c r="G478" s="708" t="s">
        <v>445</v>
      </c>
      <c r="H478" s="709"/>
      <c r="I478" s="710"/>
      <c r="J478" s="710"/>
      <c r="K478" s="71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08" t="s">
        <v>1234</v>
      </c>
      <c r="B479" s="708" t="s">
        <v>383</v>
      </c>
      <c r="C479" s="709">
        <v>28850.28</v>
      </c>
      <c r="D479" s="709">
        <v>813.88</v>
      </c>
      <c r="E479" s="709">
        <v>29664.16</v>
      </c>
      <c r="F479" s="708" t="s">
        <v>2014</v>
      </c>
      <c r="G479" s="708" t="s">
        <v>365</v>
      </c>
      <c r="H479" s="709"/>
      <c r="I479" s="710"/>
      <c r="J479" s="710"/>
      <c r="K479" s="71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08" t="s">
        <v>1820</v>
      </c>
      <c r="B480" s="708" t="s">
        <v>963</v>
      </c>
      <c r="C480" s="710">
        <v>307649.21000000002</v>
      </c>
      <c r="D480" s="710">
        <v>22301.23</v>
      </c>
      <c r="E480" s="710">
        <v>329950.44</v>
      </c>
      <c r="F480" s="708" t="s">
        <v>2228</v>
      </c>
      <c r="G480" s="708" t="s">
        <v>2297</v>
      </c>
      <c r="H480" s="664"/>
      <c r="I480" s="664"/>
      <c r="J480" s="664"/>
      <c r="K480" s="664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08" t="s">
        <v>1787</v>
      </c>
      <c r="B481" s="708" t="s">
        <v>939</v>
      </c>
      <c r="C481" s="710">
        <v>138844.69</v>
      </c>
      <c r="D481" s="710">
        <v>5458.24</v>
      </c>
      <c r="E481" s="710">
        <v>144302.93</v>
      </c>
      <c r="F481" s="708" t="s">
        <v>2228</v>
      </c>
      <c r="G481" s="708" t="s">
        <v>2297</v>
      </c>
      <c r="H481" s="664"/>
      <c r="I481" s="663"/>
      <c r="J481" s="663"/>
      <c r="K481" s="663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08" t="s">
        <v>1778</v>
      </c>
      <c r="B482" s="708" t="s">
        <v>932</v>
      </c>
      <c r="C482" s="710">
        <v>63120.39</v>
      </c>
      <c r="D482" s="710">
        <v>4903.07</v>
      </c>
      <c r="E482" s="710">
        <v>68023.460000000006</v>
      </c>
      <c r="F482" s="708" t="s">
        <v>2228</v>
      </c>
      <c r="G482" s="708" t="s">
        <v>2296</v>
      </c>
      <c r="H482" s="602"/>
      <c r="I482" s="602"/>
      <c r="J482" s="602"/>
      <c r="K482" s="602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08" t="s">
        <v>1753</v>
      </c>
      <c r="B483" s="708" t="s">
        <v>943</v>
      </c>
      <c r="C483" s="709">
        <v>84152.24</v>
      </c>
      <c r="D483" s="709">
        <v>3749.66</v>
      </c>
      <c r="E483" s="709">
        <v>87901.9</v>
      </c>
      <c r="F483" s="708" t="s">
        <v>2228</v>
      </c>
      <c r="G483" s="708" t="s">
        <v>2296</v>
      </c>
      <c r="H483" s="709"/>
      <c r="I483" s="710"/>
      <c r="J483" s="710"/>
      <c r="K483" s="71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08" t="s">
        <v>1741</v>
      </c>
      <c r="B484" s="708" t="s">
        <v>875</v>
      </c>
      <c r="C484" s="710">
        <v>24476.93</v>
      </c>
      <c r="D484" s="710">
        <v>224.64</v>
      </c>
      <c r="E484" s="710">
        <v>24701.57</v>
      </c>
      <c r="F484" s="708" t="s">
        <v>2228</v>
      </c>
      <c r="G484" s="708" t="s">
        <v>2291</v>
      </c>
      <c r="H484" s="664"/>
      <c r="I484" s="664"/>
      <c r="J484" s="664"/>
      <c r="K484" s="664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08" t="s">
        <v>1673</v>
      </c>
      <c r="B485" s="708" t="s">
        <v>857</v>
      </c>
      <c r="C485" s="710">
        <v>21048.82</v>
      </c>
      <c r="D485" s="710">
        <v>1952.84</v>
      </c>
      <c r="E485" s="710">
        <v>23001.66</v>
      </c>
      <c r="F485" s="708" t="s">
        <v>2228</v>
      </c>
      <c r="G485" s="708" t="s">
        <v>2291</v>
      </c>
      <c r="H485" s="664"/>
      <c r="I485" s="663"/>
      <c r="J485" s="663"/>
      <c r="K485" s="663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08" t="s">
        <v>389</v>
      </c>
      <c r="B486" s="708" t="s">
        <v>890</v>
      </c>
      <c r="C486" s="709">
        <v>12966.75</v>
      </c>
      <c r="D486" s="709">
        <v>369.95</v>
      </c>
      <c r="E486" s="709">
        <v>13336.7</v>
      </c>
      <c r="F486" s="708" t="s">
        <v>2228</v>
      </c>
      <c r="G486" s="708" t="s">
        <v>2293</v>
      </c>
      <c r="H486" s="709"/>
      <c r="I486" s="710"/>
      <c r="J486" s="710"/>
      <c r="K486" s="71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08" t="s">
        <v>390</v>
      </c>
      <c r="B487" s="708" t="s">
        <v>925</v>
      </c>
      <c r="C487" s="710">
        <v>23299.09</v>
      </c>
      <c r="D487" s="710">
        <v>1381.07</v>
      </c>
      <c r="E487" s="710">
        <v>24680.16</v>
      </c>
      <c r="F487" s="708" t="s">
        <v>2228</v>
      </c>
      <c r="G487" s="708" t="s">
        <v>2293</v>
      </c>
      <c r="H487" s="657"/>
      <c r="I487" s="656"/>
      <c r="J487" s="656"/>
      <c r="K487" s="656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08" t="s">
        <v>1134</v>
      </c>
      <c r="B488" s="708" t="s">
        <v>892</v>
      </c>
      <c r="C488" s="710">
        <v>139942.07</v>
      </c>
      <c r="D488" s="710">
        <v>13292.98</v>
      </c>
      <c r="E488" s="710">
        <v>153235.04999999999</v>
      </c>
      <c r="F488" s="708" t="s">
        <v>2228</v>
      </c>
      <c r="G488" s="708" t="s">
        <v>2267</v>
      </c>
      <c r="H488" s="664"/>
      <c r="I488" s="663"/>
      <c r="J488" s="663"/>
      <c r="K488" s="663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08" t="s">
        <v>1189</v>
      </c>
      <c r="B489" s="708" t="s">
        <v>916</v>
      </c>
      <c r="C489" s="710">
        <v>69274.23</v>
      </c>
      <c r="D489" s="710">
        <v>14958.6</v>
      </c>
      <c r="E489" s="710">
        <v>84232.83</v>
      </c>
      <c r="F489" s="708" t="s">
        <v>2228</v>
      </c>
      <c r="G489" s="708" t="s">
        <v>2267</v>
      </c>
      <c r="H489" s="657"/>
      <c r="I489" s="656"/>
      <c r="J489" s="656"/>
      <c r="K489" s="656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08" t="s">
        <v>1767</v>
      </c>
      <c r="B490" s="708" t="s">
        <v>945</v>
      </c>
      <c r="C490" s="710">
        <v>54965.65</v>
      </c>
      <c r="D490" s="710">
        <v>4525.66</v>
      </c>
      <c r="E490" s="710">
        <v>59491.31</v>
      </c>
      <c r="F490" s="708" t="s">
        <v>2228</v>
      </c>
      <c r="G490" s="708" t="s">
        <v>2267</v>
      </c>
      <c r="H490" s="664"/>
      <c r="I490" s="663"/>
      <c r="J490" s="663"/>
      <c r="K490" s="663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08" t="s">
        <v>1723</v>
      </c>
      <c r="B491" s="708" t="s">
        <v>860</v>
      </c>
      <c r="C491" s="710">
        <v>27579.37</v>
      </c>
      <c r="D491" s="710">
        <v>2346.69</v>
      </c>
      <c r="E491" s="710">
        <v>29926.06</v>
      </c>
      <c r="F491" s="708" t="s">
        <v>2228</v>
      </c>
      <c r="G491" s="708" t="s">
        <v>2267</v>
      </c>
      <c r="H491" s="664"/>
      <c r="I491" s="663"/>
      <c r="J491" s="663"/>
      <c r="K491" s="663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08" t="s">
        <v>1453</v>
      </c>
      <c r="B492" s="708" t="s">
        <v>764</v>
      </c>
      <c r="C492" s="709">
        <v>39.520000000000003</v>
      </c>
      <c r="D492" s="709">
        <v>23.75</v>
      </c>
      <c r="E492" s="709">
        <v>63.27</v>
      </c>
      <c r="F492" s="708" t="s">
        <v>2228</v>
      </c>
      <c r="G492" s="708" t="s">
        <v>2267</v>
      </c>
      <c r="H492" s="709"/>
      <c r="I492" s="710"/>
      <c r="J492" s="710"/>
      <c r="K492" s="71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08" t="s">
        <v>1665</v>
      </c>
      <c r="B493" s="708" t="s">
        <v>930</v>
      </c>
      <c r="C493" s="710">
        <v>-2690</v>
      </c>
      <c r="D493" s="710">
        <v>0</v>
      </c>
      <c r="E493" s="710">
        <v>-2690</v>
      </c>
      <c r="F493" s="708" t="s">
        <v>2228</v>
      </c>
      <c r="G493" s="708" t="s">
        <v>2256</v>
      </c>
      <c r="H493" s="657"/>
      <c r="I493" s="656"/>
      <c r="J493" s="656"/>
      <c r="K493" s="656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08" t="s">
        <v>1819</v>
      </c>
      <c r="B494" s="708" t="s">
        <v>941</v>
      </c>
      <c r="C494" s="710">
        <v>52392.71</v>
      </c>
      <c r="D494" s="710">
        <v>5070.17</v>
      </c>
      <c r="E494" s="710">
        <v>57462.879999999997</v>
      </c>
      <c r="F494" s="708" t="s">
        <v>2228</v>
      </c>
      <c r="G494" s="708" t="s">
        <v>2290</v>
      </c>
      <c r="H494" s="657"/>
      <c r="I494" s="656"/>
      <c r="J494" s="656"/>
      <c r="K494" s="656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08" t="s">
        <v>1706</v>
      </c>
      <c r="B495" s="708" t="s">
        <v>787</v>
      </c>
      <c r="C495" s="710">
        <v>38009.99</v>
      </c>
      <c r="D495" s="710">
        <v>7837.49</v>
      </c>
      <c r="E495" s="710">
        <v>45847.48</v>
      </c>
      <c r="F495" s="708" t="s">
        <v>2228</v>
      </c>
      <c r="G495" s="708" t="s">
        <v>2290</v>
      </c>
      <c r="H495" s="657"/>
      <c r="I495" s="656"/>
      <c r="J495" s="656"/>
      <c r="K495" s="656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08" t="s">
        <v>1181</v>
      </c>
      <c r="B496" s="708" t="s">
        <v>461</v>
      </c>
      <c r="C496" s="709">
        <v>-21400</v>
      </c>
      <c r="D496" s="709">
        <v>-1700</v>
      </c>
      <c r="E496" s="709">
        <v>-23100</v>
      </c>
      <c r="F496" s="708" t="s">
        <v>2228</v>
      </c>
      <c r="G496" s="708" t="s">
        <v>2255</v>
      </c>
      <c r="H496" s="709"/>
      <c r="I496" s="710"/>
      <c r="J496" s="710"/>
      <c r="K496" s="71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08" t="s">
        <v>1200</v>
      </c>
      <c r="B497" s="708" t="s">
        <v>463</v>
      </c>
      <c r="C497" s="710">
        <v>-15500</v>
      </c>
      <c r="D497" s="710">
        <v>-500</v>
      </c>
      <c r="E497" s="710">
        <v>-16000</v>
      </c>
      <c r="F497" s="708" t="s">
        <v>2228</v>
      </c>
      <c r="G497" s="708" t="s">
        <v>2255</v>
      </c>
      <c r="H497" s="600"/>
      <c r="I497" s="601"/>
      <c r="J497" s="601"/>
      <c r="K497" s="601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08" t="s">
        <v>1822</v>
      </c>
      <c r="B498" s="708" t="s">
        <v>942</v>
      </c>
      <c r="C498" s="710">
        <v>72168.59</v>
      </c>
      <c r="D498" s="710">
        <v>7374.68</v>
      </c>
      <c r="E498" s="710">
        <v>79543.27</v>
      </c>
      <c r="F498" s="708" t="s">
        <v>2228</v>
      </c>
      <c r="G498" s="708" t="s">
        <v>2288</v>
      </c>
      <c r="H498" s="657"/>
      <c r="I498" s="656"/>
      <c r="J498" s="656"/>
      <c r="K498" s="656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08" t="s">
        <v>1797</v>
      </c>
      <c r="B499" s="708" t="s">
        <v>907</v>
      </c>
      <c r="C499" s="710">
        <v>16037.43</v>
      </c>
      <c r="D499" s="710">
        <v>1638.82</v>
      </c>
      <c r="E499" s="710">
        <v>17676.25</v>
      </c>
      <c r="F499" s="708" t="s">
        <v>2228</v>
      </c>
      <c r="G499" s="708" t="s">
        <v>2288</v>
      </c>
      <c r="H499" s="600"/>
      <c r="I499" s="601"/>
      <c r="J499" s="601"/>
      <c r="K499" s="601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08" t="s">
        <v>1783</v>
      </c>
      <c r="B500" s="708" t="s">
        <v>897</v>
      </c>
      <c r="C500" s="710">
        <v>36084.300000000003</v>
      </c>
      <c r="D500" s="710">
        <v>3687.34</v>
      </c>
      <c r="E500" s="710">
        <v>39771.64</v>
      </c>
      <c r="F500" s="708" t="s">
        <v>2228</v>
      </c>
      <c r="G500" s="708" t="s">
        <v>2288</v>
      </c>
      <c r="H500" s="709"/>
      <c r="I500" s="709"/>
      <c r="J500" s="709"/>
      <c r="K500" s="70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08" t="s">
        <v>1774</v>
      </c>
      <c r="B501" s="708" t="s">
        <v>887</v>
      </c>
      <c r="C501" s="710">
        <v>32074.82</v>
      </c>
      <c r="D501" s="710">
        <v>3277.62</v>
      </c>
      <c r="E501" s="710">
        <v>35352.44</v>
      </c>
      <c r="F501" s="708" t="s">
        <v>2228</v>
      </c>
      <c r="G501" s="708" t="s">
        <v>2288</v>
      </c>
      <c r="H501" s="709"/>
      <c r="I501" s="709"/>
      <c r="J501" s="709"/>
      <c r="K501" s="70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08" t="s">
        <v>1675</v>
      </c>
      <c r="B502" s="708" t="s">
        <v>825</v>
      </c>
      <c r="C502" s="710">
        <v>4009.43</v>
      </c>
      <c r="D502" s="710">
        <v>409.7</v>
      </c>
      <c r="E502" s="710">
        <v>4419.13</v>
      </c>
      <c r="F502" s="708" t="s">
        <v>2228</v>
      </c>
      <c r="G502" s="708" t="s">
        <v>2288</v>
      </c>
      <c r="H502" s="600"/>
      <c r="I502" s="602"/>
      <c r="J502" s="602"/>
      <c r="K502" s="602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08" t="s">
        <v>1824</v>
      </c>
      <c r="B503" s="708" t="s">
        <v>961</v>
      </c>
      <c r="C503" s="710">
        <v>162324.09</v>
      </c>
      <c r="D503" s="710">
        <v>14494.38</v>
      </c>
      <c r="E503" s="710">
        <v>176818.47</v>
      </c>
      <c r="F503" s="708" t="s">
        <v>2228</v>
      </c>
      <c r="G503" s="708" t="s">
        <v>2287</v>
      </c>
      <c r="H503" s="664"/>
      <c r="I503" s="663"/>
      <c r="J503" s="663"/>
      <c r="K503" s="663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08" t="s">
        <v>1770</v>
      </c>
      <c r="B504" s="708" t="s">
        <v>922</v>
      </c>
      <c r="C504" s="710">
        <v>22088.1</v>
      </c>
      <c r="D504" s="710">
        <v>1617.1</v>
      </c>
      <c r="E504" s="710">
        <v>23705.200000000001</v>
      </c>
      <c r="F504" s="708" t="s">
        <v>2228</v>
      </c>
      <c r="G504" s="708" t="s">
        <v>2287</v>
      </c>
      <c r="H504" s="657"/>
      <c r="I504" s="656"/>
      <c r="J504" s="656"/>
      <c r="K504" s="656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08" t="s">
        <v>1806</v>
      </c>
      <c r="B505" s="708" t="s">
        <v>950</v>
      </c>
      <c r="C505" s="710">
        <v>117223.54</v>
      </c>
      <c r="D505" s="710">
        <v>9751.81</v>
      </c>
      <c r="E505" s="710">
        <v>126975.35</v>
      </c>
      <c r="F505" s="708" t="s">
        <v>2228</v>
      </c>
      <c r="G505" s="708" t="s">
        <v>2287</v>
      </c>
      <c r="H505" s="600"/>
      <c r="I505" s="602"/>
      <c r="J505" s="602"/>
      <c r="K505" s="602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08" t="s">
        <v>1805</v>
      </c>
      <c r="B506" s="708" t="s">
        <v>938</v>
      </c>
      <c r="C506" s="710">
        <v>98333.95</v>
      </c>
      <c r="D506" s="710">
        <v>10765.95</v>
      </c>
      <c r="E506" s="710">
        <v>109099.9</v>
      </c>
      <c r="F506" s="708" t="s">
        <v>2228</v>
      </c>
      <c r="G506" s="708" t="s">
        <v>2287</v>
      </c>
      <c r="H506" s="664"/>
      <c r="I506" s="663"/>
      <c r="J506" s="663"/>
      <c r="K506" s="663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08" t="s">
        <v>1630</v>
      </c>
      <c r="B507" s="708" t="s">
        <v>799</v>
      </c>
      <c r="C507" s="710">
        <v>3346.97</v>
      </c>
      <c r="D507" s="710">
        <v>304.27</v>
      </c>
      <c r="E507" s="710">
        <v>3651.24</v>
      </c>
      <c r="F507" s="708" t="s">
        <v>2228</v>
      </c>
      <c r="G507" s="708" t="s">
        <v>2287</v>
      </c>
      <c r="H507" s="664"/>
      <c r="I507" s="664"/>
      <c r="J507" s="664"/>
      <c r="K507" s="664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08" t="s">
        <v>1791</v>
      </c>
      <c r="B508" s="708" t="s">
        <v>924</v>
      </c>
      <c r="C508" s="710">
        <v>65034.44</v>
      </c>
      <c r="D508" s="710">
        <v>6626.07</v>
      </c>
      <c r="E508" s="710">
        <v>71660.509999999995</v>
      </c>
      <c r="F508" s="708" t="s">
        <v>2228</v>
      </c>
      <c r="G508" s="708" t="s">
        <v>2286</v>
      </c>
      <c r="H508" s="602"/>
      <c r="I508" s="602"/>
      <c r="J508" s="602"/>
      <c r="K508" s="602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08" t="s">
        <v>1704</v>
      </c>
      <c r="B509" s="708" t="s">
        <v>861</v>
      </c>
      <c r="C509" s="710">
        <v>29747.59</v>
      </c>
      <c r="D509" s="710">
        <v>3884.19</v>
      </c>
      <c r="E509" s="710">
        <v>33631.78</v>
      </c>
      <c r="F509" s="708" t="s">
        <v>2228</v>
      </c>
      <c r="G509" s="708" t="s">
        <v>2286</v>
      </c>
      <c r="H509" s="709"/>
      <c r="I509" s="709"/>
      <c r="J509" s="709"/>
      <c r="K509" s="70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08" t="s">
        <v>1772</v>
      </c>
      <c r="B510" s="708" t="s">
        <v>921</v>
      </c>
      <c r="C510" s="710">
        <v>40812.239999999998</v>
      </c>
      <c r="D510" s="710">
        <v>4386.5200000000004</v>
      </c>
      <c r="E510" s="710">
        <v>45198.76</v>
      </c>
      <c r="F510" s="708" t="s">
        <v>2228</v>
      </c>
      <c r="G510" s="708" t="s">
        <v>2286</v>
      </c>
      <c r="H510" s="664"/>
      <c r="I510" s="663"/>
      <c r="J510" s="663"/>
      <c r="K510" s="663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08" t="s">
        <v>1743</v>
      </c>
      <c r="B511" s="708" t="s">
        <v>906</v>
      </c>
      <c r="C511" s="710">
        <v>27104.67</v>
      </c>
      <c r="D511" s="710">
        <v>2661.19</v>
      </c>
      <c r="E511" s="710">
        <v>29765.86</v>
      </c>
      <c r="F511" s="708" t="s">
        <v>2228</v>
      </c>
      <c r="G511" s="708" t="s">
        <v>2286</v>
      </c>
      <c r="H511" s="664"/>
      <c r="I511" s="663"/>
      <c r="J511" s="663"/>
      <c r="K511" s="663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08" t="s">
        <v>1654</v>
      </c>
      <c r="B512" s="708" t="s">
        <v>820</v>
      </c>
      <c r="C512" s="710">
        <v>3388.15</v>
      </c>
      <c r="D512" s="710">
        <v>332.65</v>
      </c>
      <c r="E512" s="710">
        <v>3720.8</v>
      </c>
      <c r="F512" s="708" t="s">
        <v>2228</v>
      </c>
      <c r="G512" s="708" t="s">
        <v>2286</v>
      </c>
      <c r="H512" s="600"/>
      <c r="I512" s="602"/>
      <c r="J512" s="602"/>
      <c r="K512" s="602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08" t="s">
        <v>1670</v>
      </c>
      <c r="B513" s="708" t="s">
        <v>910</v>
      </c>
      <c r="C513" s="710">
        <v>3754.5</v>
      </c>
      <c r="D513" s="710">
        <v>342</v>
      </c>
      <c r="E513" s="710">
        <v>4096.5</v>
      </c>
      <c r="F513" s="708" t="s">
        <v>2228</v>
      </c>
      <c r="G513" s="708" t="s">
        <v>2268</v>
      </c>
      <c r="H513" s="664"/>
      <c r="I513" s="663"/>
      <c r="J513" s="663"/>
      <c r="K513" s="663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08" t="s">
        <v>1782</v>
      </c>
      <c r="B514" s="708" t="s">
        <v>937</v>
      </c>
      <c r="C514" s="710">
        <v>30899</v>
      </c>
      <c r="D514" s="710">
        <v>2809</v>
      </c>
      <c r="E514" s="710">
        <v>33708</v>
      </c>
      <c r="F514" s="708" t="s">
        <v>2228</v>
      </c>
      <c r="G514" s="708" t="s">
        <v>2268</v>
      </c>
      <c r="H514" s="664"/>
      <c r="I514" s="663"/>
      <c r="J514" s="663"/>
      <c r="K514" s="663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08" t="s">
        <v>1215</v>
      </c>
      <c r="B515" s="708" t="s">
        <v>949</v>
      </c>
      <c r="C515" s="710">
        <v>46625.53</v>
      </c>
      <c r="D515" s="710">
        <v>-407.12</v>
      </c>
      <c r="E515" s="710">
        <v>46218.41</v>
      </c>
      <c r="F515" s="708" t="s">
        <v>2228</v>
      </c>
      <c r="G515" s="708" t="s">
        <v>2268</v>
      </c>
      <c r="H515" s="657"/>
      <c r="I515" s="656"/>
      <c r="J515" s="656"/>
      <c r="K515" s="656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08" t="s">
        <v>1740</v>
      </c>
      <c r="B516" s="708" t="s">
        <v>962</v>
      </c>
      <c r="C516" s="710">
        <v>68204.789999999994</v>
      </c>
      <c r="D516" s="710">
        <v>6829.86</v>
      </c>
      <c r="E516" s="710">
        <v>75034.649999999994</v>
      </c>
      <c r="F516" s="708" t="s">
        <v>2228</v>
      </c>
      <c r="G516" s="708" t="s">
        <v>2268</v>
      </c>
      <c r="H516" s="657"/>
      <c r="I516" s="656"/>
      <c r="J516" s="656"/>
      <c r="K516" s="656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08" t="s">
        <v>1612</v>
      </c>
      <c r="B517" s="708" t="s">
        <v>681</v>
      </c>
      <c r="C517" s="710">
        <v>209</v>
      </c>
      <c r="D517" s="710">
        <v>19</v>
      </c>
      <c r="E517" s="710">
        <v>228</v>
      </c>
      <c r="F517" s="708" t="s">
        <v>2228</v>
      </c>
      <c r="G517" s="708" t="s">
        <v>2268</v>
      </c>
      <c r="H517" s="664"/>
      <c r="I517" s="664"/>
      <c r="J517" s="664"/>
      <c r="K517" s="664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08" t="s">
        <v>1703</v>
      </c>
      <c r="B518" s="708" t="s">
        <v>918</v>
      </c>
      <c r="C518" s="710">
        <v>65708.84</v>
      </c>
      <c r="D518" s="710">
        <v>9478.51</v>
      </c>
      <c r="E518" s="710">
        <v>75187.350000000006</v>
      </c>
      <c r="F518" s="708" t="s">
        <v>2228</v>
      </c>
      <c r="G518" s="708" t="s">
        <v>2276</v>
      </c>
      <c r="H518" s="657"/>
      <c r="I518" s="656"/>
      <c r="J518" s="656"/>
      <c r="K518" s="656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08" t="s">
        <v>1212</v>
      </c>
      <c r="B519" s="708" t="s">
        <v>858</v>
      </c>
      <c r="C519" s="710">
        <v>44332.59</v>
      </c>
      <c r="D519" s="710">
        <v>5820.07</v>
      </c>
      <c r="E519" s="710">
        <v>50152.66</v>
      </c>
      <c r="F519" s="708" t="s">
        <v>2228</v>
      </c>
      <c r="G519" s="708" t="s">
        <v>2276</v>
      </c>
      <c r="H519" s="664"/>
      <c r="I519" s="663"/>
      <c r="J519" s="663"/>
      <c r="K519" s="663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08" t="s">
        <v>1742</v>
      </c>
      <c r="B520" s="708" t="s">
        <v>952</v>
      </c>
      <c r="C520" s="710">
        <v>73312.5</v>
      </c>
      <c r="D520" s="710">
        <v>17640.740000000002</v>
      </c>
      <c r="E520" s="710">
        <v>90953.24</v>
      </c>
      <c r="F520" s="708" t="s">
        <v>2228</v>
      </c>
      <c r="G520" s="708" t="s">
        <v>2276</v>
      </c>
      <c r="H520" s="664"/>
      <c r="I520" s="663"/>
      <c r="J520" s="663"/>
      <c r="K520" s="663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08" t="s">
        <v>1218</v>
      </c>
      <c r="B521" s="708" t="s">
        <v>900</v>
      </c>
      <c r="C521" s="710">
        <v>19369.939999999999</v>
      </c>
      <c r="D521" s="710">
        <v>3760.12</v>
      </c>
      <c r="E521" s="710">
        <v>23130.06</v>
      </c>
      <c r="F521" s="708" t="s">
        <v>2228</v>
      </c>
      <c r="G521" s="708" t="s">
        <v>2276</v>
      </c>
      <c r="H521" s="600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08" t="s">
        <v>1221</v>
      </c>
      <c r="B522" s="708" t="s">
        <v>767</v>
      </c>
      <c r="C522" s="710">
        <v>731.65</v>
      </c>
      <c r="D522" s="710">
        <v>230.02</v>
      </c>
      <c r="E522" s="710">
        <v>961.67</v>
      </c>
      <c r="F522" s="708" t="s">
        <v>2228</v>
      </c>
      <c r="G522" s="708" t="s">
        <v>2276</v>
      </c>
      <c r="H522" s="600"/>
      <c r="I522" s="602"/>
      <c r="J522" s="602"/>
      <c r="K522" s="602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08" t="s">
        <v>1793</v>
      </c>
      <c r="B523" s="708" t="s">
        <v>951</v>
      </c>
      <c r="C523" s="710">
        <v>85144.28</v>
      </c>
      <c r="D523" s="710">
        <v>8681.2900000000009</v>
      </c>
      <c r="E523" s="710">
        <v>93825.57</v>
      </c>
      <c r="F523" s="708" t="s">
        <v>2228</v>
      </c>
      <c r="G523" s="708" t="s">
        <v>2279</v>
      </c>
      <c r="H523" s="602"/>
      <c r="I523" s="601"/>
      <c r="J523" s="601"/>
      <c r="K523" s="601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08" t="s">
        <v>1709</v>
      </c>
      <c r="B524" s="708" t="s">
        <v>883</v>
      </c>
      <c r="C524" s="709">
        <v>40707.31</v>
      </c>
      <c r="D524" s="709">
        <v>3458.68</v>
      </c>
      <c r="E524" s="709">
        <v>44165.99</v>
      </c>
      <c r="F524" s="708" t="s">
        <v>2228</v>
      </c>
      <c r="G524" s="708" t="s">
        <v>2279</v>
      </c>
      <c r="H524" s="709"/>
      <c r="I524" s="710"/>
      <c r="J524" s="710"/>
      <c r="K524" s="71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08" t="s">
        <v>1757</v>
      </c>
      <c r="B525" s="708" t="s">
        <v>947</v>
      </c>
      <c r="C525" s="710">
        <v>104713.89</v>
      </c>
      <c r="D525" s="710">
        <v>9372.52</v>
      </c>
      <c r="E525" s="710">
        <v>114086.41</v>
      </c>
      <c r="F525" s="708" t="s">
        <v>2228</v>
      </c>
      <c r="G525" s="708" t="s">
        <v>2279</v>
      </c>
      <c r="H525" s="600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08" t="s">
        <v>1745</v>
      </c>
      <c r="B526" s="708" t="s">
        <v>902</v>
      </c>
      <c r="C526" s="710">
        <v>35535.89</v>
      </c>
      <c r="D526" s="710">
        <v>3909.43</v>
      </c>
      <c r="E526" s="710">
        <v>39445.32</v>
      </c>
      <c r="F526" s="708" t="s">
        <v>2228</v>
      </c>
      <c r="G526" s="708" t="s">
        <v>2279</v>
      </c>
      <c r="H526" s="602"/>
      <c r="I526" s="601"/>
      <c r="J526" s="601"/>
      <c r="K526" s="601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08" t="s">
        <v>1656</v>
      </c>
      <c r="B527" s="708" t="s">
        <v>832</v>
      </c>
      <c r="C527" s="710">
        <v>2527.88</v>
      </c>
      <c r="D527" s="710">
        <v>348.75</v>
      </c>
      <c r="E527" s="710">
        <v>2876.63</v>
      </c>
      <c r="F527" s="708" t="s">
        <v>2228</v>
      </c>
      <c r="G527" s="708" t="s">
        <v>2279</v>
      </c>
      <c r="H527" s="602"/>
      <c r="I527" s="601"/>
      <c r="J527" s="601"/>
      <c r="K527" s="601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08" t="s">
        <v>1781</v>
      </c>
      <c r="B528" s="708" t="s">
        <v>955</v>
      </c>
      <c r="C528" s="710">
        <v>101211.97</v>
      </c>
      <c r="D528" s="710">
        <v>5006.57</v>
      </c>
      <c r="E528" s="710">
        <v>106218.54</v>
      </c>
      <c r="F528" s="708" t="s">
        <v>2228</v>
      </c>
      <c r="G528" s="708" t="s">
        <v>2294</v>
      </c>
      <c r="H528" s="664"/>
      <c r="I528" s="663"/>
      <c r="J528" s="663"/>
      <c r="K528" s="663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08" t="s">
        <v>1795</v>
      </c>
      <c r="B529" s="708" t="s">
        <v>914</v>
      </c>
      <c r="C529" s="710">
        <v>36903.870000000003</v>
      </c>
      <c r="D529" s="710">
        <v>2883.21</v>
      </c>
      <c r="E529" s="710">
        <v>39787.08</v>
      </c>
      <c r="F529" s="708" t="s">
        <v>2228</v>
      </c>
      <c r="G529" s="708" t="s">
        <v>2273</v>
      </c>
      <c r="H529" s="664"/>
      <c r="I529" s="664"/>
      <c r="J529" s="664"/>
      <c r="K529" s="664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08" t="s">
        <v>1712</v>
      </c>
      <c r="B530" s="708" t="s">
        <v>852</v>
      </c>
      <c r="C530" s="710">
        <v>18512.36</v>
      </c>
      <c r="D530" s="710">
        <v>1480.89</v>
      </c>
      <c r="E530" s="710">
        <v>19993.25</v>
      </c>
      <c r="F530" s="708" t="s">
        <v>2228</v>
      </c>
      <c r="G530" s="708" t="s">
        <v>2273</v>
      </c>
      <c r="H530" s="664"/>
      <c r="I530" s="663"/>
      <c r="J530" s="663"/>
      <c r="K530" s="663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4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08" t="s">
        <v>1758</v>
      </c>
      <c r="B531" s="708" t="s">
        <v>948</v>
      </c>
      <c r="C531" s="710">
        <v>47270.83</v>
      </c>
      <c r="D531" s="710">
        <v>2930.54</v>
      </c>
      <c r="E531" s="710">
        <v>50201.37</v>
      </c>
      <c r="F531" s="708" t="s">
        <v>2228</v>
      </c>
      <c r="G531" s="708" t="s">
        <v>2273</v>
      </c>
      <c r="H531" s="664"/>
      <c r="I531" s="663"/>
      <c r="J531" s="663"/>
      <c r="K531" s="663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08" t="s">
        <v>1749</v>
      </c>
      <c r="B532" s="708" t="s">
        <v>904</v>
      </c>
      <c r="C532" s="710">
        <v>18045.830000000002</v>
      </c>
      <c r="D532" s="710">
        <v>1501.47</v>
      </c>
      <c r="E532" s="710">
        <v>19547.3</v>
      </c>
      <c r="F532" s="708" t="s">
        <v>2228</v>
      </c>
      <c r="G532" s="708" t="s">
        <v>2273</v>
      </c>
      <c r="H532" s="664"/>
      <c r="I532" s="663"/>
      <c r="J532" s="663"/>
      <c r="K532" s="663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08" t="s">
        <v>1657</v>
      </c>
      <c r="B533" s="708" t="s">
        <v>813</v>
      </c>
      <c r="C533" s="709">
        <v>468.27</v>
      </c>
      <c r="D533" s="709">
        <v>21.89</v>
      </c>
      <c r="E533" s="709">
        <v>490.16</v>
      </c>
      <c r="F533" s="708" t="s">
        <v>2228</v>
      </c>
      <c r="G533" s="708" t="s">
        <v>2273</v>
      </c>
      <c r="H533" s="709"/>
      <c r="I533" s="710"/>
      <c r="J533" s="710"/>
      <c r="K533" s="71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08" t="s">
        <v>1786</v>
      </c>
      <c r="B534" s="708" t="s">
        <v>859</v>
      </c>
      <c r="C534" s="709">
        <v>5993.11</v>
      </c>
      <c r="D534" s="709">
        <v>-5285.49</v>
      </c>
      <c r="E534" s="709">
        <v>707.62</v>
      </c>
      <c r="F534" s="708" t="s">
        <v>2228</v>
      </c>
      <c r="G534" s="708" t="s">
        <v>2264</v>
      </c>
      <c r="H534" s="709"/>
      <c r="I534" s="710"/>
      <c r="J534" s="710"/>
      <c r="K534" s="71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08" t="s">
        <v>1702</v>
      </c>
      <c r="B535" s="708" t="s">
        <v>815</v>
      </c>
      <c r="C535" s="710">
        <v>4117.07</v>
      </c>
      <c r="D535" s="710">
        <v>-1084.19</v>
      </c>
      <c r="E535" s="710">
        <v>3032.88</v>
      </c>
      <c r="F535" s="708" t="s">
        <v>2228</v>
      </c>
      <c r="G535" s="708" t="s">
        <v>2264</v>
      </c>
      <c r="H535" s="664"/>
      <c r="I535" s="663"/>
      <c r="J535" s="663"/>
      <c r="K535" s="663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08" t="s">
        <v>1744</v>
      </c>
      <c r="B536" s="708" t="s">
        <v>838</v>
      </c>
      <c r="C536" s="710">
        <v>11544.03</v>
      </c>
      <c r="D536" s="710">
        <v>-1816.24</v>
      </c>
      <c r="E536" s="710">
        <v>9727.7900000000009</v>
      </c>
      <c r="F536" s="708" t="s">
        <v>2228</v>
      </c>
      <c r="G536" s="708" t="s">
        <v>2264</v>
      </c>
      <c r="H536" s="664"/>
      <c r="I536" s="663"/>
      <c r="J536" s="663"/>
      <c r="K536" s="663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08" t="s">
        <v>1739</v>
      </c>
      <c r="B537" s="708" t="s">
        <v>830</v>
      </c>
      <c r="C537" s="709">
        <v>2675.69</v>
      </c>
      <c r="D537" s="709">
        <v>-2189.1</v>
      </c>
      <c r="E537" s="709">
        <v>486.59</v>
      </c>
      <c r="F537" s="708" t="s">
        <v>2228</v>
      </c>
      <c r="G537" s="708" t="s">
        <v>2264</v>
      </c>
      <c r="H537" s="709"/>
      <c r="I537" s="710"/>
      <c r="J537" s="710"/>
      <c r="K537" s="71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08" t="s">
        <v>1651</v>
      </c>
      <c r="B538" s="708" t="s">
        <v>783</v>
      </c>
      <c r="C538" s="709">
        <v>43.72</v>
      </c>
      <c r="D538" s="709">
        <v>-299.98</v>
      </c>
      <c r="E538" s="709">
        <v>-256.26</v>
      </c>
      <c r="F538" s="708" t="s">
        <v>2228</v>
      </c>
      <c r="G538" s="708" t="s">
        <v>2264</v>
      </c>
      <c r="H538" s="709"/>
      <c r="I538" s="710"/>
      <c r="J538" s="710"/>
      <c r="K538" s="71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08" t="s">
        <v>1677</v>
      </c>
      <c r="B539" s="708" t="s">
        <v>908</v>
      </c>
      <c r="C539" s="709">
        <v>9735.9500000000007</v>
      </c>
      <c r="D539" s="709">
        <v>4436.74</v>
      </c>
      <c r="E539" s="709">
        <v>14172.69</v>
      </c>
      <c r="F539" s="708" t="s">
        <v>2228</v>
      </c>
      <c r="G539" s="708" t="s">
        <v>2261</v>
      </c>
      <c r="H539" s="709"/>
      <c r="I539" s="710"/>
      <c r="J539" s="710"/>
      <c r="K539" s="71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08" t="s">
        <v>1664</v>
      </c>
      <c r="B540" s="708" t="s">
        <v>772</v>
      </c>
      <c r="C540" s="710">
        <v>184.71</v>
      </c>
      <c r="D540" s="710">
        <v>0</v>
      </c>
      <c r="E540" s="710">
        <v>184.71</v>
      </c>
      <c r="F540" s="708" t="s">
        <v>2228</v>
      </c>
      <c r="G540" s="708" t="s">
        <v>2261</v>
      </c>
      <c r="H540" s="664"/>
      <c r="I540" s="663"/>
      <c r="J540" s="663"/>
      <c r="K540" s="663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08" t="s">
        <v>1163</v>
      </c>
      <c r="B541" s="708" t="s">
        <v>877</v>
      </c>
      <c r="C541" s="710">
        <v>47923.83</v>
      </c>
      <c r="D541" s="710">
        <v>5098.95</v>
      </c>
      <c r="E541" s="710">
        <v>53022.78</v>
      </c>
      <c r="F541" s="708" t="s">
        <v>2228</v>
      </c>
      <c r="G541" s="708" t="s">
        <v>2295</v>
      </c>
      <c r="H541" s="664"/>
      <c r="I541" s="663"/>
      <c r="J541" s="663"/>
      <c r="K541" s="663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08" t="s">
        <v>1161</v>
      </c>
      <c r="B542" s="708" t="s">
        <v>1162</v>
      </c>
      <c r="C542" s="709">
        <v>47923.56</v>
      </c>
      <c r="D542" s="709">
        <v>5098.91</v>
      </c>
      <c r="E542" s="709">
        <v>53022.47</v>
      </c>
      <c r="F542" s="708" t="s">
        <v>2228</v>
      </c>
      <c r="G542" s="708" t="s">
        <v>2295</v>
      </c>
      <c r="H542" s="709"/>
      <c r="I542" s="710"/>
      <c r="J542" s="710"/>
      <c r="K542" s="71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08" t="s">
        <v>1762</v>
      </c>
      <c r="B543" s="708" t="s">
        <v>936</v>
      </c>
      <c r="C543" s="709">
        <v>64067.61</v>
      </c>
      <c r="D543" s="709">
        <v>8422.91</v>
      </c>
      <c r="E543" s="709">
        <v>72490.52</v>
      </c>
      <c r="F543" s="708" t="s">
        <v>2228</v>
      </c>
      <c r="G543" s="708" t="s">
        <v>2278</v>
      </c>
      <c r="H543" s="709"/>
      <c r="I543" s="710"/>
      <c r="J543" s="710"/>
      <c r="K543" s="71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08" t="s">
        <v>1705</v>
      </c>
      <c r="B544" s="708" t="s">
        <v>864</v>
      </c>
      <c r="C544" s="709">
        <v>8685.0499999999993</v>
      </c>
      <c r="D544" s="709">
        <v>655.4</v>
      </c>
      <c r="E544" s="709">
        <v>9340.4500000000007</v>
      </c>
      <c r="F544" s="708" t="s">
        <v>2228</v>
      </c>
      <c r="G544" s="708" t="s">
        <v>2278</v>
      </c>
      <c r="H544" s="709"/>
      <c r="I544" s="710"/>
      <c r="J544" s="710"/>
      <c r="K544" s="71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08" t="s">
        <v>1693</v>
      </c>
      <c r="B545" s="708" t="s">
        <v>895</v>
      </c>
      <c r="C545" s="709">
        <v>15372.81</v>
      </c>
      <c r="D545" s="709">
        <v>2716.33</v>
      </c>
      <c r="E545" s="709">
        <v>18089.14</v>
      </c>
      <c r="F545" s="708" t="s">
        <v>2228</v>
      </c>
      <c r="G545" s="708" t="s">
        <v>2278</v>
      </c>
      <c r="H545" s="709"/>
      <c r="I545" s="710"/>
      <c r="J545" s="710"/>
      <c r="K545" s="71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08" t="s">
        <v>1666</v>
      </c>
      <c r="B546" s="708" t="s">
        <v>870</v>
      </c>
      <c r="C546" s="709">
        <v>9155.08</v>
      </c>
      <c r="D546" s="709">
        <v>1993.32</v>
      </c>
      <c r="E546" s="709">
        <v>11148.4</v>
      </c>
      <c r="F546" s="708" t="s">
        <v>2228</v>
      </c>
      <c r="G546" s="708" t="s">
        <v>2278</v>
      </c>
      <c r="H546" s="709"/>
      <c r="I546" s="710"/>
      <c r="J546" s="710"/>
      <c r="K546" s="71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08" t="s">
        <v>1618</v>
      </c>
      <c r="B547" s="708" t="s">
        <v>804</v>
      </c>
      <c r="C547" s="709">
        <v>1144.1600000000001</v>
      </c>
      <c r="D547" s="709">
        <v>249.16</v>
      </c>
      <c r="E547" s="709">
        <v>1393.32</v>
      </c>
      <c r="F547" s="708" t="s">
        <v>2228</v>
      </c>
      <c r="G547" s="708" t="s">
        <v>2278</v>
      </c>
      <c r="H547" s="709"/>
      <c r="I547" s="710"/>
      <c r="J547" s="710"/>
      <c r="K547" s="71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08" t="s">
        <v>1168</v>
      </c>
      <c r="B548" s="708" t="s">
        <v>1169</v>
      </c>
      <c r="C548" s="709">
        <v>-25137</v>
      </c>
      <c r="D548" s="709">
        <v>-2790</v>
      </c>
      <c r="E548" s="709">
        <v>-27927</v>
      </c>
      <c r="F548" s="708" t="s">
        <v>2228</v>
      </c>
      <c r="G548" s="708" t="s">
        <v>2254</v>
      </c>
      <c r="H548" s="709"/>
      <c r="I548" s="710"/>
      <c r="J548" s="710"/>
      <c r="K548" s="71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08" t="s">
        <v>1170</v>
      </c>
      <c r="B549" s="708" t="s">
        <v>1171</v>
      </c>
      <c r="C549" s="709">
        <v>-25137</v>
      </c>
      <c r="D549" s="709">
        <v>-2790</v>
      </c>
      <c r="E549" s="709">
        <v>-27927</v>
      </c>
      <c r="F549" s="708" t="s">
        <v>2228</v>
      </c>
      <c r="G549" s="708" t="s">
        <v>2254</v>
      </c>
      <c r="H549" s="709"/>
      <c r="I549" s="710"/>
      <c r="J549" s="710"/>
      <c r="K549" s="71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08" t="s">
        <v>2436</v>
      </c>
      <c r="B550" s="708" t="s">
        <v>2437</v>
      </c>
      <c r="C550" s="709">
        <v>0</v>
      </c>
      <c r="D550" s="709">
        <v>-65.23</v>
      </c>
      <c r="E550" s="709">
        <v>-65.23</v>
      </c>
      <c r="F550" s="708" t="s">
        <v>2228</v>
      </c>
      <c r="G550" s="708" t="s">
        <v>2511</v>
      </c>
      <c r="H550" s="709"/>
      <c r="I550" s="710"/>
      <c r="J550" s="710"/>
      <c r="K550" s="71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08" t="s">
        <v>2438</v>
      </c>
      <c r="B551" s="708" t="s">
        <v>2439</v>
      </c>
      <c r="C551" s="709">
        <v>0</v>
      </c>
      <c r="D551" s="709">
        <v>-65.22</v>
      </c>
      <c r="E551" s="709">
        <v>-65.22</v>
      </c>
      <c r="F551" s="708" t="s">
        <v>2228</v>
      </c>
      <c r="G551" s="708" t="s">
        <v>2511</v>
      </c>
      <c r="H551" s="709"/>
      <c r="I551" s="710"/>
      <c r="J551" s="710"/>
      <c r="K551" s="71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08" t="s">
        <v>1691</v>
      </c>
      <c r="B552" s="708" t="s">
        <v>855</v>
      </c>
      <c r="C552" s="709">
        <v>6754.17</v>
      </c>
      <c r="D552" s="709">
        <v>956.31</v>
      </c>
      <c r="E552" s="709">
        <v>7710.48</v>
      </c>
      <c r="F552" s="708" t="s">
        <v>2228</v>
      </c>
      <c r="G552" s="708" t="s">
        <v>2269</v>
      </c>
      <c r="H552" s="709"/>
      <c r="I552" s="710"/>
      <c r="J552" s="710"/>
      <c r="K552" s="71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08" t="s">
        <v>1632</v>
      </c>
      <c r="B553" s="708" t="s">
        <v>812</v>
      </c>
      <c r="C553" s="709">
        <v>1805.2</v>
      </c>
      <c r="D553" s="709">
        <v>212.51</v>
      </c>
      <c r="E553" s="709">
        <v>2017.71</v>
      </c>
      <c r="F553" s="708" t="s">
        <v>2228</v>
      </c>
      <c r="G553" s="708" t="s">
        <v>2269</v>
      </c>
      <c r="H553" s="709"/>
      <c r="I553" s="710"/>
      <c r="J553" s="710"/>
      <c r="K553" s="71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08" t="s">
        <v>1668</v>
      </c>
      <c r="B554" s="708" t="s">
        <v>826</v>
      </c>
      <c r="C554" s="709">
        <v>6056.89</v>
      </c>
      <c r="D554" s="709">
        <v>478.16</v>
      </c>
      <c r="E554" s="709">
        <v>6535.05</v>
      </c>
      <c r="F554" s="708" t="s">
        <v>2228</v>
      </c>
      <c r="G554" s="708" t="s">
        <v>2269</v>
      </c>
      <c r="H554" s="709"/>
      <c r="I554" s="710"/>
      <c r="J554" s="710"/>
      <c r="K554" s="71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08" t="s">
        <v>1662</v>
      </c>
      <c r="B555" s="708" t="s">
        <v>829</v>
      </c>
      <c r="C555" s="709">
        <v>3489.71</v>
      </c>
      <c r="D555" s="709">
        <v>425.03</v>
      </c>
      <c r="E555" s="709">
        <v>3914.74</v>
      </c>
      <c r="F555" s="708" t="s">
        <v>2228</v>
      </c>
      <c r="G555" s="708" t="s">
        <v>2269</v>
      </c>
      <c r="H555" s="709"/>
      <c r="I555" s="710"/>
      <c r="J555" s="710"/>
      <c r="K555" s="71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08" t="s">
        <v>1616</v>
      </c>
      <c r="B556" s="708" t="s">
        <v>779</v>
      </c>
      <c r="C556" s="710">
        <v>356.08</v>
      </c>
      <c r="D556" s="710">
        <v>53.13</v>
      </c>
      <c r="E556" s="710">
        <v>409.21</v>
      </c>
      <c r="F556" s="708" t="s">
        <v>2228</v>
      </c>
      <c r="G556" s="708" t="s">
        <v>2269</v>
      </c>
      <c r="H556" s="664"/>
      <c r="I556" s="663"/>
      <c r="J556" s="663"/>
      <c r="K556" s="663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08" t="s">
        <v>1454</v>
      </c>
      <c r="B557" s="708" t="s">
        <v>682</v>
      </c>
      <c r="C557" s="709">
        <v>515.53</v>
      </c>
      <c r="D557" s="709">
        <v>0</v>
      </c>
      <c r="E557" s="709">
        <v>515.53</v>
      </c>
      <c r="F557" s="708" t="s">
        <v>2228</v>
      </c>
      <c r="G557" s="708" t="s">
        <v>2258</v>
      </c>
      <c r="H557" s="709"/>
      <c r="I557" s="710"/>
      <c r="J557" s="710"/>
      <c r="K557" s="71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08" t="s">
        <v>1455</v>
      </c>
      <c r="B558" s="708" t="s">
        <v>683</v>
      </c>
      <c r="C558" s="710">
        <v>97.48</v>
      </c>
      <c r="D558" s="710">
        <v>0</v>
      </c>
      <c r="E558" s="710">
        <v>97.48</v>
      </c>
      <c r="F558" s="708" t="s">
        <v>2228</v>
      </c>
      <c r="G558" s="708" t="s">
        <v>2258</v>
      </c>
      <c r="H558" s="664"/>
      <c r="I558" s="663"/>
      <c r="J558" s="663"/>
      <c r="K558" s="663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08" t="s">
        <v>1724</v>
      </c>
      <c r="B559" s="708" t="s">
        <v>791</v>
      </c>
      <c r="C559" s="710">
        <v>10372.129999999999</v>
      </c>
      <c r="D559" s="710">
        <v>339.83</v>
      </c>
      <c r="E559" s="710">
        <v>10711.96</v>
      </c>
      <c r="F559" s="708" t="s">
        <v>2228</v>
      </c>
      <c r="G559" s="708" t="s">
        <v>2258</v>
      </c>
      <c r="H559" s="664"/>
      <c r="I559" s="663"/>
      <c r="J559" s="663"/>
      <c r="K559" s="663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08" t="s">
        <v>1456</v>
      </c>
      <c r="B560" s="708" t="s">
        <v>684</v>
      </c>
      <c r="C560" s="709">
        <v>199.26</v>
      </c>
      <c r="D560" s="709">
        <v>0</v>
      </c>
      <c r="E560" s="709">
        <v>199.26</v>
      </c>
      <c r="F560" s="708" t="s">
        <v>2228</v>
      </c>
      <c r="G560" s="708" t="s">
        <v>2258</v>
      </c>
      <c r="H560" s="709"/>
      <c r="I560" s="710"/>
      <c r="J560" s="710"/>
      <c r="K560" s="71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08" t="s">
        <v>1457</v>
      </c>
      <c r="B561" s="708" t="s">
        <v>685</v>
      </c>
      <c r="C561" s="709">
        <v>24.37</v>
      </c>
      <c r="D561" s="709">
        <v>0</v>
      </c>
      <c r="E561" s="709">
        <v>24.37</v>
      </c>
      <c r="F561" s="708" t="s">
        <v>2228</v>
      </c>
      <c r="G561" s="708" t="s">
        <v>2258</v>
      </c>
      <c r="H561" s="709"/>
      <c r="I561" s="710"/>
      <c r="J561" s="710"/>
      <c r="K561" s="71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08" t="s">
        <v>2058</v>
      </c>
      <c r="B562" s="708" t="s">
        <v>2059</v>
      </c>
      <c r="C562" s="709">
        <v>69.83</v>
      </c>
      <c r="D562" s="709">
        <v>0</v>
      </c>
      <c r="E562" s="709">
        <v>69.83</v>
      </c>
      <c r="F562" s="708" t="s">
        <v>2228</v>
      </c>
      <c r="G562" s="708" t="s">
        <v>2265</v>
      </c>
      <c r="H562" s="709"/>
      <c r="I562" s="710"/>
      <c r="J562" s="710"/>
      <c r="K562" s="71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08" t="s">
        <v>1197</v>
      </c>
      <c r="B563" s="708" t="s">
        <v>842</v>
      </c>
      <c r="C563" s="710">
        <v>8366.86</v>
      </c>
      <c r="D563" s="710">
        <v>832.2</v>
      </c>
      <c r="E563" s="710">
        <v>9199.06</v>
      </c>
      <c r="F563" s="708" t="s">
        <v>2228</v>
      </c>
      <c r="G563" s="708" t="s">
        <v>2265</v>
      </c>
      <c r="H563" s="657"/>
      <c r="I563" s="656"/>
      <c r="J563" s="656"/>
      <c r="K563" s="656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08" t="s">
        <v>1460</v>
      </c>
      <c r="B564" s="708" t="s">
        <v>797</v>
      </c>
      <c r="C564" s="709">
        <v>2689.49</v>
      </c>
      <c r="D564" s="709">
        <v>198.05</v>
      </c>
      <c r="E564" s="709">
        <v>2887.54</v>
      </c>
      <c r="F564" s="708" t="s">
        <v>2228</v>
      </c>
      <c r="G564" s="708" t="s">
        <v>2265</v>
      </c>
      <c r="H564" s="709"/>
      <c r="I564" s="710"/>
      <c r="J564" s="710"/>
      <c r="K564" s="71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08" t="s">
        <v>1639</v>
      </c>
      <c r="B565" s="708" t="s">
        <v>896</v>
      </c>
      <c r="C565" s="710">
        <v>3693.62</v>
      </c>
      <c r="D565" s="710">
        <v>9097.16</v>
      </c>
      <c r="E565" s="710">
        <v>12790.78</v>
      </c>
      <c r="F565" s="708" t="s">
        <v>2228</v>
      </c>
      <c r="G565" s="708" t="s">
        <v>2257</v>
      </c>
      <c r="H565" s="664"/>
      <c r="I565" s="663"/>
      <c r="J565" s="663"/>
      <c r="K565" s="663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08" t="s">
        <v>1649</v>
      </c>
      <c r="B566" s="708" t="s">
        <v>893</v>
      </c>
      <c r="C566" s="710">
        <v>17614.72</v>
      </c>
      <c r="D566" s="710">
        <v>2756.58</v>
      </c>
      <c r="E566" s="710">
        <v>20371.3</v>
      </c>
      <c r="F566" s="708" t="s">
        <v>2228</v>
      </c>
      <c r="G566" s="708" t="s">
        <v>2257</v>
      </c>
      <c r="H566" s="664"/>
      <c r="I566" s="663"/>
      <c r="J566" s="663"/>
      <c r="K566" s="663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08" t="s">
        <v>1113</v>
      </c>
      <c r="B567" s="708" t="s">
        <v>929</v>
      </c>
      <c r="C567" s="710">
        <v>29134.02</v>
      </c>
      <c r="D567" s="710">
        <v>8270.65</v>
      </c>
      <c r="E567" s="710">
        <v>37404.67</v>
      </c>
      <c r="F567" s="708" t="s">
        <v>2228</v>
      </c>
      <c r="G567" s="708" t="s">
        <v>2257</v>
      </c>
      <c r="H567" s="664"/>
      <c r="I567" s="663"/>
      <c r="J567" s="663"/>
      <c r="K567" s="663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08" t="s">
        <v>1638</v>
      </c>
      <c r="B568" s="708" t="s">
        <v>873</v>
      </c>
      <c r="C568" s="710">
        <v>1465.13</v>
      </c>
      <c r="D568" s="710">
        <v>4860.46</v>
      </c>
      <c r="E568" s="710">
        <v>6325.59</v>
      </c>
      <c r="F568" s="708" t="s">
        <v>2228</v>
      </c>
      <c r="G568" s="708" t="s">
        <v>2257</v>
      </c>
      <c r="H568" s="600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08" t="s">
        <v>1471</v>
      </c>
      <c r="B569" s="708" t="s">
        <v>686</v>
      </c>
      <c r="C569" s="710">
        <v>55.3</v>
      </c>
      <c r="D569" s="710">
        <v>389.32</v>
      </c>
      <c r="E569" s="710">
        <v>444.62</v>
      </c>
      <c r="F569" s="708" t="s">
        <v>2228</v>
      </c>
      <c r="G569" s="708" t="s">
        <v>2257</v>
      </c>
      <c r="H569" s="600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08" t="s">
        <v>1640</v>
      </c>
      <c r="B570" s="708" t="s">
        <v>913</v>
      </c>
      <c r="C570" s="710">
        <v>49941.66</v>
      </c>
      <c r="D570" s="710">
        <v>4422.07</v>
      </c>
      <c r="E570" s="710">
        <v>54363.73</v>
      </c>
      <c r="F570" s="708" t="s">
        <v>2228</v>
      </c>
      <c r="G570" s="708" t="s">
        <v>2284</v>
      </c>
      <c r="H570" s="664"/>
      <c r="I570" s="663"/>
      <c r="J570" s="663"/>
      <c r="K570" s="663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08" t="s">
        <v>1631</v>
      </c>
      <c r="B571" s="708" t="s">
        <v>876</v>
      </c>
      <c r="C571" s="710">
        <v>14980.52</v>
      </c>
      <c r="D571" s="710">
        <v>1259.3499999999999</v>
      </c>
      <c r="E571" s="710">
        <v>16239.87</v>
      </c>
      <c r="F571" s="708" t="s">
        <v>2228</v>
      </c>
      <c r="G571" s="708" t="s">
        <v>2284</v>
      </c>
      <c r="H571" s="664"/>
      <c r="I571" s="664"/>
      <c r="J571" s="664"/>
      <c r="K571" s="664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08" t="s">
        <v>1766</v>
      </c>
      <c r="B572" s="708" t="s">
        <v>931</v>
      </c>
      <c r="C572" s="710">
        <v>49876.6</v>
      </c>
      <c r="D572" s="710">
        <v>5577.55</v>
      </c>
      <c r="E572" s="710">
        <v>55454.15</v>
      </c>
      <c r="F572" s="708" t="s">
        <v>2228</v>
      </c>
      <c r="G572" s="708" t="s">
        <v>2284</v>
      </c>
      <c r="H572" s="664"/>
      <c r="I572" s="663"/>
      <c r="J572" s="663"/>
      <c r="K572" s="663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08" t="s">
        <v>1669</v>
      </c>
      <c r="B573" s="708" t="s">
        <v>884</v>
      </c>
      <c r="C573" s="710">
        <v>21177.74</v>
      </c>
      <c r="D573" s="710">
        <v>1824.45</v>
      </c>
      <c r="E573" s="710">
        <v>23002.19</v>
      </c>
      <c r="F573" s="708" t="s">
        <v>2228</v>
      </c>
      <c r="G573" s="708" t="s">
        <v>2284</v>
      </c>
      <c r="H573" s="664"/>
      <c r="I573" s="663"/>
      <c r="J573" s="663"/>
      <c r="K573" s="663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08" t="s">
        <v>1241</v>
      </c>
      <c r="B574" s="708" t="s">
        <v>854</v>
      </c>
      <c r="C574" s="710">
        <v>2315.12</v>
      </c>
      <c r="D574" s="710">
        <v>211.06</v>
      </c>
      <c r="E574" s="710">
        <v>2526.1799999999998</v>
      </c>
      <c r="F574" s="708" t="s">
        <v>2228</v>
      </c>
      <c r="G574" s="708" t="s">
        <v>2284</v>
      </c>
      <c r="H574" s="664"/>
      <c r="I574" s="663"/>
      <c r="J574" s="663"/>
      <c r="K574" s="663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08" t="s">
        <v>1750</v>
      </c>
      <c r="B575" s="708" t="s">
        <v>959</v>
      </c>
      <c r="C575" s="710">
        <v>28503.97</v>
      </c>
      <c r="D575" s="710">
        <v>1742.05</v>
      </c>
      <c r="E575" s="710">
        <v>30246.02</v>
      </c>
      <c r="F575" s="708" t="s">
        <v>2228</v>
      </c>
      <c r="G575" s="708" t="s">
        <v>2281</v>
      </c>
      <c r="H575" s="664"/>
      <c r="I575" s="663"/>
      <c r="J575" s="663"/>
      <c r="K575" s="663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08" t="s">
        <v>1674</v>
      </c>
      <c r="B576" s="708" t="s">
        <v>851</v>
      </c>
      <c r="C576" s="710">
        <v>6169.72</v>
      </c>
      <c r="D576" s="710">
        <v>387.11</v>
      </c>
      <c r="E576" s="710">
        <v>6556.83</v>
      </c>
      <c r="F576" s="708" t="s">
        <v>2228</v>
      </c>
      <c r="G576" s="708" t="s">
        <v>2281</v>
      </c>
      <c r="H576" s="602"/>
      <c r="I576" s="601"/>
      <c r="J576" s="601"/>
      <c r="K576" s="601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08" t="s">
        <v>1799</v>
      </c>
      <c r="B577" s="708" t="s">
        <v>933</v>
      </c>
      <c r="C577" s="709">
        <v>56773.63</v>
      </c>
      <c r="D577" s="709">
        <v>4139.0200000000004</v>
      </c>
      <c r="E577" s="709">
        <v>60912.65</v>
      </c>
      <c r="F577" s="708" t="s">
        <v>2228</v>
      </c>
      <c r="G577" s="708" t="s">
        <v>2281</v>
      </c>
      <c r="H577" s="709"/>
      <c r="I577" s="710"/>
      <c r="J577" s="710"/>
      <c r="K577" s="71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08" t="s">
        <v>1734</v>
      </c>
      <c r="B578" s="708" t="s">
        <v>920</v>
      </c>
      <c r="C578" s="710">
        <v>12188.37</v>
      </c>
      <c r="D578" s="710">
        <v>779.37</v>
      </c>
      <c r="E578" s="710">
        <v>12967.74</v>
      </c>
      <c r="F578" s="708" t="s">
        <v>2228</v>
      </c>
      <c r="G578" s="708" t="s">
        <v>2281</v>
      </c>
      <c r="H578" s="664"/>
      <c r="I578" s="664"/>
      <c r="J578" s="664"/>
      <c r="K578" s="664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08" t="s">
        <v>1629</v>
      </c>
      <c r="B579" s="708" t="s">
        <v>809</v>
      </c>
      <c r="C579" s="710">
        <v>1529.94</v>
      </c>
      <c r="D579" s="710">
        <v>96.8</v>
      </c>
      <c r="E579" s="710">
        <v>1626.74</v>
      </c>
      <c r="F579" s="708" t="s">
        <v>2228</v>
      </c>
      <c r="G579" s="708" t="s">
        <v>2281</v>
      </c>
      <c r="H579" s="664"/>
      <c r="I579" s="663"/>
      <c r="J579" s="663"/>
      <c r="K579" s="663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08" t="s">
        <v>1156</v>
      </c>
      <c r="B580" s="708" t="s">
        <v>800</v>
      </c>
      <c r="C580" s="710">
        <v>8410.59</v>
      </c>
      <c r="D580" s="710">
        <v>126.67</v>
      </c>
      <c r="E580" s="710">
        <v>8537.26</v>
      </c>
      <c r="F580" s="708" t="s">
        <v>2228</v>
      </c>
      <c r="G580" s="708" t="s">
        <v>2266</v>
      </c>
      <c r="H580" s="664"/>
      <c r="I580" s="663"/>
      <c r="J580" s="663"/>
      <c r="K580" s="663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08" t="s">
        <v>1201</v>
      </c>
      <c r="B581" s="708" t="s">
        <v>796</v>
      </c>
      <c r="C581" s="709">
        <v>1719.94</v>
      </c>
      <c r="D581" s="709">
        <v>28.15</v>
      </c>
      <c r="E581" s="709">
        <v>1748.09</v>
      </c>
      <c r="F581" s="708" t="s">
        <v>2228</v>
      </c>
      <c r="G581" s="708" t="s">
        <v>2266</v>
      </c>
      <c r="H581" s="709"/>
      <c r="I581" s="710"/>
      <c r="J581" s="710"/>
      <c r="K581" s="71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08" t="s">
        <v>1182</v>
      </c>
      <c r="B582" s="708" t="s">
        <v>790</v>
      </c>
      <c r="C582" s="709">
        <v>4627.18</v>
      </c>
      <c r="D582" s="709">
        <v>82.55</v>
      </c>
      <c r="E582" s="709">
        <v>4709.7299999999996</v>
      </c>
      <c r="F582" s="708" t="s">
        <v>2228</v>
      </c>
      <c r="G582" s="708" t="s">
        <v>2266</v>
      </c>
      <c r="H582" s="709"/>
      <c r="I582" s="710"/>
      <c r="J582" s="710"/>
      <c r="K582" s="71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08" t="s">
        <v>1180</v>
      </c>
      <c r="B583" s="708" t="s">
        <v>778</v>
      </c>
      <c r="C583" s="709">
        <v>3802.69</v>
      </c>
      <c r="D583" s="709">
        <v>56.3</v>
      </c>
      <c r="E583" s="709">
        <v>3858.99</v>
      </c>
      <c r="F583" s="708" t="s">
        <v>2228</v>
      </c>
      <c r="G583" s="708" t="s">
        <v>2266</v>
      </c>
      <c r="H583" s="709"/>
      <c r="I583" s="710"/>
      <c r="J583" s="710"/>
      <c r="K583" s="71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08" t="s">
        <v>1223</v>
      </c>
      <c r="B584" s="708" t="s">
        <v>766</v>
      </c>
      <c r="C584" s="710">
        <v>421</v>
      </c>
      <c r="D584" s="710">
        <v>7.01</v>
      </c>
      <c r="E584" s="710">
        <v>428.01</v>
      </c>
      <c r="F584" s="708" t="s">
        <v>2228</v>
      </c>
      <c r="G584" s="708" t="s">
        <v>2266</v>
      </c>
      <c r="H584" s="664"/>
      <c r="I584" s="663"/>
      <c r="J584" s="663"/>
      <c r="K584" s="663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08" t="s">
        <v>1233</v>
      </c>
      <c r="B585" s="708" t="s">
        <v>808</v>
      </c>
      <c r="C585" s="710">
        <v>2105.87</v>
      </c>
      <c r="D585" s="710">
        <v>59.85</v>
      </c>
      <c r="E585" s="710">
        <v>2165.7199999999998</v>
      </c>
      <c r="F585" s="708" t="s">
        <v>2228</v>
      </c>
      <c r="G585" s="708" t="s">
        <v>2263</v>
      </c>
      <c r="H585" s="657"/>
      <c r="I585" s="656"/>
      <c r="J585" s="656"/>
      <c r="K585" s="656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08" t="s">
        <v>1239</v>
      </c>
      <c r="B586" s="708" t="s">
        <v>776</v>
      </c>
      <c r="C586" s="710">
        <v>467.98</v>
      </c>
      <c r="D586" s="710">
        <v>13.3</v>
      </c>
      <c r="E586" s="710">
        <v>481.28</v>
      </c>
      <c r="F586" s="708" t="s">
        <v>2228</v>
      </c>
      <c r="G586" s="708" t="s">
        <v>2263</v>
      </c>
      <c r="H586" s="664"/>
      <c r="I586" s="663"/>
      <c r="J586" s="663"/>
      <c r="K586" s="663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08" t="s">
        <v>1236</v>
      </c>
      <c r="B587" s="708" t="s">
        <v>794</v>
      </c>
      <c r="C587" s="710">
        <v>1053.01</v>
      </c>
      <c r="D587" s="710">
        <v>29.93</v>
      </c>
      <c r="E587" s="710">
        <v>1082.94</v>
      </c>
      <c r="F587" s="708" t="s">
        <v>2228</v>
      </c>
      <c r="G587" s="708" t="s">
        <v>2263</v>
      </c>
      <c r="H587" s="664"/>
      <c r="I587" s="663"/>
      <c r="J587" s="663"/>
      <c r="K587" s="663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08" t="s">
        <v>1237</v>
      </c>
      <c r="B588" s="708" t="s">
        <v>792</v>
      </c>
      <c r="C588" s="710">
        <v>935.94</v>
      </c>
      <c r="D588" s="710">
        <v>26.6</v>
      </c>
      <c r="E588" s="710">
        <v>962.54</v>
      </c>
      <c r="F588" s="708" t="s">
        <v>2228</v>
      </c>
      <c r="G588" s="708" t="s">
        <v>2263</v>
      </c>
      <c r="H588" s="664"/>
      <c r="I588" s="663"/>
      <c r="J588" s="663"/>
      <c r="K588" s="663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08" t="s">
        <v>1242</v>
      </c>
      <c r="B589" s="708" t="s">
        <v>768</v>
      </c>
      <c r="C589" s="710">
        <v>116.9</v>
      </c>
      <c r="D589" s="710">
        <v>3.32</v>
      </c>
      <c r="E589" s="710">
        <v>120.22</v>
      </c>
      <c r="F589" s="708" t="s">
        <v>2228</v>
      </c>
      <c r="G589" s="708" t="s">
        <v>2263</v>
      </c>
      <c r="H589" s="664"/>
      <c r="I589" s="663"/>
      <c r="J589" s="663"/>
      <c r="K589" s="663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08" t="s">
        <v>1730</v>
      </c>
      <c r="B590" s="708" t="s">
        <v>926</v>
      </c>
      <c r="C590" s="709">
        <v>28334.81</v>
      </c>
      <c r="D590" s="709">
        <v>1818.93</v>
      </c>
      <c r="E590" s="709">
        <v>30153.74</v>
      </c>
      <c r="F590" s="708" t="s">
        <v>2228</v>
      </c>
      <c r="G590" s="708" t="s">
        <v>2282</v>
      </c>
      <c r="H590" s="709"/>
      <c r="I590" s="710"/>
      <c r="J590" s="710"/>
      <c r="K590" s="71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08" t="s">
        <v>1667</v>
      </c>
      <c r="B591" s="708" t="s">
        <v>863</v>
      </c>
      <c r="C591" s="709">
        <v>6277.17</v>
      </c>
      <c r="D591" s="709">
        <v>404.2</v>
      </c>
      <c r="E591" s="709">
        <v>6681.37</v>
      </c>
      <c r="F591" s="708" t="s">
        <v>2228</v>
      </c>
      <c r="G591" s="708" t="s">
        <v>2282</v>
      </c>
      <c r="H591" s="709"/>
      <c r="I591" s="710"/>
      <c r="J591" s="710"/>
      <c r="K591" s="71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08" t="s">
        <v>1692</v>
      </c>
      <c r="B592" s="708" t="s">
        <v>899</v>
      </c>
      <c r="C592" s="709">
        <v>14123.65</v>
      </c>
      <c r="D592" s="709">
        <v>909.46</v>
      </c>
      <c r="E592" s="709">
        <v>15033.11</v>
      </c>
      <c r="F592" s="708" t="s">
        <v>2228</v>
      </c>
      <c r="G592" s="708" t="s">
        <v>2282</v>
      </c>
      <c r="H592" s="709"/>
      <c r="I592" s="710"/>
      <c r="J592" s="710"/>
      <c r="K592" s="71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08" t="s">
        <v>1690</v>
      </c>
      <c r="B593" s="708" t="s">
        <v>891</v>
      </c>
      <c r="C593" s="709">
        <v>12554.28</v>
      </c>
      <c r="D593" s="709">
        <v>808.42</v>
      </c>
      <c r="E593" s="709">
        <v>13362.7</v>
      </c>
      <c r="F593" s="708" t="s">
        <v>2228</v>
      </c>
      <c r="G593" s="708" t="s">
        <v>2282</v>
      </c>
      <c r="H593" s="709"/>
      <c r="I593" s="710"/>
      <c r="J593" s="710"/>
      <c r="K593" s="71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08" t="s">
        <v>1624</v>
      </c>
      <c r="B594" s="708" t="s">
        <v>823</v>
      </c>
      <c r="C594" s="710">
        <v>1569.25</v>
      </c>
      <c r="D594" s="710">
        <v>101.04</v>
      </c>
      <c r="E594" s="710">
        <v>1670.29</v>
      </c>
      <c r="F594" s="708" t="s">
        <v>2228</v>
      </c>
      <c r="G594" s="708" t="s">
        <v>2282</v>
      </c>
      <c r="H594" s="664"/>
      <c r="I594" s="663"/>
      <c r="J594" s="663"/>
      <c r="K594" s="663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08" t="s">
        <v>1771</v>
      </c>
      <c r="B595" s="708" t="s">
        <v>915</v>
      </c>
      <c r="C595" s="710">
        <v>31419.78</v>
      </c>
      <c r="D595" s="710">
        <v>2755.5</v>
      </c>
      <c r="E595" s="710">
        <v>34175.279999999999</v>
      </c>
      <c r="F595" s="708" t="s">
        <v>2228</v>
      </c>
      <c r="G595" s="708" t="s">
        <v>2283</v>
      </c>
      <c r="H595" s="664"/>
      <c r="I595" s="663"/>
      <c r="J595" s="663"/>
      <c r="K595" s="663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08" t="s">
        <v>1682</v>
      </c>
      <c r="B596" s="708" t="s">
        <v>853</v>
      </c>
      <c r="C596" s="710">
        <v>6735.63</v>
      </c>
      <c r="D596" s="710">
        <v>612.33000000000004</v>
      </c>
      <c r="E596" s="710">
        <v>7347.96</v>
      </c>
      <c r="F596" s="708" t="s">
        <v>2228</v>
      </c>
      <c r="G596" s="708" t="s">
        <v>2283</v>
      </c>
      <c r="H596" s="600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08" t="s">
        <v>1726</v>
      </c>
      <c r="B597" s="708" t="s">
        <v>888</v>
      </c>
      <c r="C597" s="710">
        <v>15155.36</v>
      </c>
      <c r="D597" s="710">
        <v>1377.76</v>
      </c>
      <c r="E597" s="710">
        <v>16533.12</v>
      </c>
      <c r="F597" s="708" t="s">
        <v>2228</v>
      </c>
      <c r="G597" s="708" t="s">
        <v>2283</v>
      </c>
      <c r="H597" s="709"/>
      <c r="I597" s="709"/>
      <c r="J597" s="709"/>
      <c r="K597" s="70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08" t="s">
        <v>1718</v>
      </c>
      <c r="B598" s="708" t="s">
        <v>882</v>
      </c>
      <c r="C598" s="710">
        <v>13471.37</v>
      </c>
      <c r="D598" s="710">
        <v>1224.67</v>
      </c>
      <c r="E598" s="710">
        <v>14696.04</v>
      </c>
      <c r="F598" s="708" t="s">
        <v>2228</v>
      </c>
      <c r="G598" s="708" t="s">
        <v>2283</v>
      </c>
      <c r="H598" s="709"/>
      <c r="I598" s="709"/>
      <c r="J598" s="709"/>
      <c r="K598" s="70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08" t="s">
        <v>1637</v>
      </c>
      <c r="B599" s="708" t="s">
        <v>814</v>
      </c>
      <c r="C599" s="710">
        <v>1683.77</v>
      </c>
      <c r="D599" s="710">
        <v>153.07</v>
      </c>
      <c r="E599" s="710">
        <v>1836.84</v>
      </c>
      <c r="F599" s="708" t="s">
        <v>2228</v>
      </c>
      <c r="G599" s="708" t="s">
        <v>2283</v>
      </c>
      <c r="H599" s="709"/>
      <c r="I599" s="709"/>
      <c r="J599" s="709"/>
      <c r="K599" s="70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08" t="s">
        <v>1671</v>
      </c>
      <c r="B600" s="708" t="s">
        <v>834</v>
      </c>
      <c r="C600" s="710">
        <v>2220.23</v>
      </c>
      <c r="D600" s="710">
        <v>180.66</v>
      </c>
      <c r="E600" s="710">
        <v>2400.89</v>
      </c>
      <c r="F600" s="708" t="s">
        <v>2228</v>
      </c>
      <c r="G600" s="708" t="s">
        <v>2259</v>
      </c>
      <c r="H600" s="600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08" t="s">
        <v>1627</v>
      </c>
      <c r="B601" s="708" t="s">
        <v>798</v>
      </c>
      <c r="C601" s="710">
        <v>590.11</v>
      </c>
      <c r="D601" s="710">
        <v>40.15</v>
      </c>
      <c r="E601" s="710">
        <v>630.26</v>
      </c>
      <c r="F601" s="708" t="s">
        <v>2228</v>
      </c>
      <c r="G601" s="708" t="s">
        <v>2259</v>
      </c>
      <c r="H601" s="600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08" t="s">
        <v>1658</v>
      </c>
      <c r="B602" s="708" t="s">
        <v>821</v>
      </c>
      <c r="C602" s="710">
        <v>1290.51</v>
      </c>
      <c r="D602" s="710">
        <v>130.34</v>
      </c>
      <c r="E602" s="710">
        <v>1420.85</v>
      </c>
      <c r="F602" s="708" t="s">
        <v>2228</v>
      </c>
      <c r="G602" s="708" t="s">
        <v>2259</v>
      </c>
      <c r="H602" s="709"/>
      <c r="I602" s="709"/>
      <c r="J602" s="709"/>
      <c r="K602" s="70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08" t="s">
        <v>1648</v>
      </c>
      <c r="B603" s="708" t="s">
        <v>816</v>
      </c>
      <c r="C603" s="710">
        <v>1208.95</v>
      </c>
      <c r="D603" s="710">
        <v>200.29</v>
      </c>
      <c r="E603" s="710">
        <v>1409.24</v>
      </c>
      <c r="F603" s="708" t="s">
        <v>2228</v>
      </c>
      <c r="G603" s="708" t="s">
        <v>2259</v>
      </c>
      <c r="H603" s="709"/>
      <c r="I603" s="709"/>
      <c r="J603" s="709"/>
      <c r="K603" s="70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08" t="s">
        <v>1613</v>
      </c>
      <c r="B604" s="708" t="s">
        <v>773</v>
      </c>
      <c r="C604" s="710">
        <v>100.98</v>
      </c>
      <c r="D604" s="710">
        <v>10.02</v>
      </c>
      <c r="E604" s="710">
        <v>111</v>
      </c>
      <c r="F604" s="708" t="s">
        <v>2228</v>
      </c>
      <c r="G604" s="708" t="s">
        <v>2259</v>
      </c>
      <c r="H604" s="600"/>
      <c r="I604" s="601"/>
      <c r="J604" s="601"/>
      <c r="K604" s="601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08" t="s">
        <v>1145</v>
      </c>
      <c r="B605" s="708" t="s">
        <v>889</v>
      </c>
      <c r="C605" s="710">
        <v>4569.54</v>
      </c>
      <c r="D605" s="710">
        <v>-6403.28</v>
      </c>
      <c r="E605" s="710">
        <v>-1833.74</v>
      </c>
      <c r="F605" s="708" t="s">
        <v>2228</v>
      </c>
      <c r="G605" s="708" t="s">
        <v>2270</v>
      </c>
      <c r="H605" s="600"/>
      <c r="I605" s="601"/>
      <c r="J605" s="601"/>
      <c r="K605" s="601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08" t="s">
        <v>1194</v>
      </c>
      <c r="B606" s="708" t="s">
        <v>833</v>
      </c>
      <c r="C606" s="710">
        <v>958.69</v>
      </c>
      <c r="D606" s="710">
        <v>-1422.95</v>
      </c>
      <c r="E606" s="710">
        <v>-464.26</v>
      </c>
      <c r="F606" s="708" t="s">
        <v>2228</v>
      </c>
      <c r="G606" s="708" t="s">
        <v>2270</v>
      </c>
      <c r="H606" s="600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08" t="s">
        <v>1172</v>
      </c>
      <c r="B607" s="708" t="s">
        <v>868</v>
      </c>
      <c r="C607" s="710">
        <v>21476.07</v>
      </c>
      <c r="D607" s="710">
        <v>-2535.56</v>
      </c>
      <c r="E607" s="710">
        <v>18940.509999999998</v>
      </c>
      <c r="F607" s="708" t="s">
        <v>2228</v>
      </c>
      <c r="G607" s="708" t="s">
        <v>2270</v>
      </c>
      <c r="H607" s="664"/>
      <c r="I607" s="663"/>
      <c r="J607" s="663"/>
      <c r="K607" s="663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08" t="s">
        <v>1174</v>
      </c>
      <c r="B608" s="708" t="s">
        <v>856</v>
      </c>
      <c r="C608" s="710">
        <v>1883.73</v>
      </c>
      <c r="D608" s="710">
        <v>-2845.9</v>
      </c>
      <c r="E608" s="710">
        <v>-962.17</v>
      </c>
      <c r="F608" s="708" t="s">
        <v>2228</v>
      </c>
      <c r="G608" s="708" t="s">
        <v>2270</v>
      </c>
      <c r="H608" s="664"/>
      <c r="I608" s="663"/>
      <c r="J608" s="663"/>
      <c r="K608" s="663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08" t="s">
        <v>1219</v>
      </c>
      <c r="B609" s="708" t="s">
        <v>803</v>
      </c>
      <c r="C609" s="710">
        <v>229.58</v>
      </c>
      <c r="D609" s="710">
        <v>-355.75</v>
      </c>
      <c r="E609" s="710">
        <v>-126.17</v>
      </c>
      <c r="F609" s="708" t="s">
        <v>2228</v>
      </c>
      <c r="G609" s="708" t="s">
        <v>2270</v>
      </c>
      <c r="H609" s="709"/>
      <c r="I609" s="709"/>
      <c r="J609" s="709"/>
      <c r="K609" s="70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2" t="s">
        <v>1137</v>
      </c>
      <c r="B610" s="662" t="s">
        <v>869</v>
      </c>
      <c r="C610" s="663">
        <v>6280.1</v>
      </c>
      <c r="D610" s="663">
        <v>-5913.44</v>
      </c>
      <c r="E610" s="663">
        <v>366.66</v>
      </c>
      <c r="F610" s="662" t="s">
        <v>2228</v>
      </c>
      <c r="G610" s="662" t="s">
        <v>2271</v>
      </c>
      <c r="H610" s="657"/>
      <c r="I610" s="656"/>
      <c r="J610" s="656"/>
      <c r="K610" s="656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2" t="s">
        <v>1177</v>
      </c>
      <c r="B611" s="662" t="s">
        <v>824</v>
      </c>
      <c r="C611" s="663">
        <v>1365.8</v>
      </c>
      <c r="D611" s="663">
        <v>-1314.1</v>
      </c>
      <c r="E611" s="663">
        <v>51.7</v>
      </c>
      <c r="F611" s="662" t="s">
        <v>2228</v>
      </c>
      <c r="G611" s="662" t="s">
        <v>2271</v>
      </c>
      <c r="H611" s="657"/>
      <c r="I611" s="656"/>
      <c r="J611" s="656"/>
      <c r="K611" s="656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2" t="s">
        <v>1152</v>
      </c>
      <c r="B612" s="662" t="s">
        <v>843</v>
      </c>
      <c r="C612" s="663">
        <v>3092.87</v>
      </c>
      <c r="D612" s="663">
        <v>-2956.72</v>
      </c>
      <c r="E612" s="663">
        <v>136.15</v>
      </c>
      <c r="F612" s="662" t="s">
        <v>2228</v>
      </c>
      <c r="G612" s="662" t="s">
        <v>2271</v>
      </c>
      <c r="H612" s="657"/>
      <c r="I612" s="656"/>
      <c r="J612" s="656"/>
      <c r="K612" s="656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2" t="s">
        <v>1155</v>
      </c>
      <c r="B613" s="662" t="s">
        <v>847</v>
      </c>
      <c r="C613" s="663">
        <v>2731.59</v>
      </c>
      <c r="D613" s="663">
        <v>-2628.2</v>
      </c>
      <c r="E613" s="663">
        <v>103.39</v>
      </c>
      <c r="F613" s="662" t="s">
        <v>2228</v>
      </c>
      <c r="G613" s="662" t="s">
        <v>2271</v>
      </c>
      <c r="H613" s="657"/>
      <c r="I613" s="656"/>
      <c r="J613" s="656"/>
      <c r="K613" s="656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2" t="s">
        <v>1213</v>
      </c>
      <c r="B614" s="662" t="s">
        <v>786</v>
      </c>
      <c r="C614" s="663">
        <v>341.36</v>
      </c>
      <c r="D614" s="663">
        <v>-328.54</v>
      </c>
      <c r="E614" s="663">
        <v>12.82</v>
      </c>
      <c r="F614" s="662" t="s">
        <v>2228</v>
      </c>
      <c r="G614" s="662" t="s">
        <v>2271</v>
      </c>
      <c r="H614" s="657"/>
      <c r="I614" s="656"/>
      <c r="J614" s="656"/>
      <c r="K614" s="656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2" t="s">
        <v>1655</v>
      </c>
      <c r="B615" s="662" t="s">
        <v>818</v>
      </c>
      <c r="C615" s="663">
        <v>2231.42</v>
      </c>
      <c r="D615" s="663">
        <v>618.12</v>
      </c>
      <c r="E615" s="663">
        <v>2849.54</v>
      </c>
      <c r="F615" s="662" t="s">
        <v>2228</v>
      </c>
      <c r="G615" s="662" t="s">
        <v>2262</v>
      </c>
      <c r="H615" s="657"/>
      <c r="I615" s="656"/>
      <c r="J615" s="656"/>
      <c r="K615" s="656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2" t="s">
        <v>1621</v>
      </c>
      <c r="B616" s="662" t="s">
        <v>782</v>
      </c>
      <c r="C616" s="663">
        <v>523.49</v>
      </c>
      <c r="D616" s="663">
        <v>211.55</v>
      </c>
      <c r="E616" s="663">
        <v>735.04</v>
      </c>
      <c r="F616" s="662" t="s">
        <v>2228</v>
      </c>
      <c r="G616" s="662" t="s">
        <v>2262</v>
      </c>
      <c r="H616" s="657"/>
      <c r="I616" s="656"/>
      <c r="J616" s="656"/>
      <c r="K616" s="656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2" t="s">
        <v>1628</v>
      </c>
      <c r="B617" s="662" t="s">
        <v>806</v>
      </c>
      <c r="C617" s="663">
        <v>1050.1500000000001</v>
      </c>
      <c r="D617" s="663">
        <v>369.66</v>
      </c>
      <c r="E617" s="663">
        <v>1419.81</v>
      </c>
      <c r="F617" s="662" t="s">
        <v>2228</v>
      </c>
      <c r="G617" s="662" t="s">
        <v>2262</v>
      </c>
      <c r="H617" s="657"/>
      <c r="I617" s="656"/>
      <c r="J617" s="656"/>
      <c r="K617" s="656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2" t="s">
        <v>1619</v>
      </c>
      <c r="B618" s="662" t="s">
        <v>788</v>
      </c>
      <c r="C618" s="663">
        <v>5217.1000000000004</v>
      </c>
      <c r="D618" s="663">
        <v>865.71</v>
      </c>
      <c r="E618" s="663">
        <v>6082.81</v>
      </c>
      <c r="F618" s="662" t="s">
        <v>2228</v>
      </c>
      <c r="G618" s="662" t="s">
        <v>2262</v>
      </c>
      <c r="H618" s="657"/>
      <c r="I618" s="656"/>
      <c r="J618" s="656"/>
      <c r="K618" s="656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2" t="s">
        <v>1609</v>
      </c>
      <c r="B619" s="662" t="s">
        <v>770</v>
      </c>
      <c r="C619" s="663">
        <v>99.31</v>
      </c>
      <c r="D619" s="663">
        <v>25.06</v>
      </c>
      <c r="E619" s="663">
        <v>124.37</v>
      </c>
      <c r="F619" s="662" t="s">
        <v>2228</v>
      </c>
      <c r="G619" s="662" t="s">
        <v>2262</v>
      </c>
      <c r="H619" s="657"/>
      <c r="I619" s="656"/>
      <c r="J619" s="656"/>
      <c r="K619" s="656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2" t="s">
        <v>1830</v>
      </c>
      <c r="B620" s="662" t="s">
        <v>968</v>
      </c>
      <c r="C620" s="663">
        <v>247500</v>
      </c>
      <c r="D620" s="663">
        <v>22500</v>
      </c>
      <c r="E620" s="663">
        <v>270000</v>
      </c>
      <c r="F620" s="662" t="s">
        <v>2228</v>
      </c>
      <c r="G620" s="662" t="s">
        <v>2292</v>
      </c>
      <c r="H620" s="657"/>
      <c r="I620" s="656"/>
      <c r="J620" s="656"/>
      <c r="K620" s="656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2" t="s">
        <v>1794</v>
      </c>
      <c r="B621" s="662" t="s">
        <v>928</v>
      </c>
      <c r="C621" s="663">
        <v>55000</v>
      </c>
      <c r="D621" s="663">
        <v>5000</v>
      </c>
      <c r="E621" s="663">
        <v>60000</v>
      </c>
      <c r="F621" s="662" t="s">
        <v>2228</v>
      </c>
      <c r="G621" s="662" t="s">
        <v>2292</v>
      </c>
      <c r="H621" s="657"/>
      <c r="I621" s="656"/>
      <c r="J621" s="656"/>
      <c r="K621" s="656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2" t="s">
        <v>1818</v>
      </c>
      <c r="B622" s="662" t="s">
        <v>958</v>
      </c>
      <c r="C622" s="663">
        <v>123750</v>
      </c>
      <c r="D622" s="663">
        <v>11250</v>
      </c>
      <c r="E622" s="663">
        <v>135000</v>
      </c>
      <c r="F622" s="662" t="s">
        <v>2228</v>
      </c>
      <c r="G622" s="662" t="s">
        <v>2292</v>
      </c>
      <c r="H622" s="657"/>
      <c r="I622" s="656"/>
      <c r="J622" s="656"/>
      <c r="K622" s="656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4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2" t="s">
        <v>1816</v>
      </c>
      <c r="B623" s="662" t="s">
        <v>953</v>
      </c>
      <c r="C623" s="663">
        <v>110000</v>
      </c>
      <c r="D623" s="663">
        <v>10000</v>
      </c>
      <c r="E623" s="663">
        <v>120000</v>
      </c>
      <c r="F623" s="662" t="s">
        <v>2228</v>
      </c>
      <c r="G623" s="662" t="s">
        <v>2292</v>
      </c>
      <c r="H623" s="657"/>
      <c r="I623" s="656"/>
      <c r="J623" s="656"/>
      <c r="K623" s="656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2" t="s">
        <v>1716</v>
      </c>
      <c r="B624" s="662" t="s">
        <v>871</v>
      </c>
      <c r="C624" s="663">
        <v>13750</v>
      </c>
      <c r="D624" s="663">
        <v>1250</v>
      </c>
      <c r="E624" s="663">
        <v>15000</v>
      </c>
      <c r="F624" s="662" t="s">
        <v>2228</v>
      </c>
      <c r="G624" s="662" t="s">
        <v>2292</v>
      </c>
      <c r="H624" s="657"/>
      <c r="I624" s="656"/>
      <c r="J624" s="656"/>
      <c r="K624" s="656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2" t="s">
        <v>1776</v>
      </c>
      <c r="B625" s="662" t="s">
        <v>1777</v>
      </c>
      <c r="C625" s="663">
        <v>47025</v>
      </c>
      <c r="D625" s="663">
        <v>4027.99</v>
      </c>
      <c r="E625" s="663">
        <v>51052.99</v>
      </c>
      <c r="F625" s="662" t="s">
        <v>2228</v>
      </c>
      <c r="G625" s="662" t="s">
        <v>2285</v>
      </c>
      <c r="H625" s="657"/>
      <c r="I625" s="656"/>
      <c r="J625" s="656"/>
      <c r="K625" s="656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2" t="s">
        <v>1694</v>
      </c>
      <c r="B626" s="662" t="s">
        <v>1695</v>
      </c>
      <c r="C626" s="663">
        <v>10450</v>
      </c>
      <c r="D626" s="663">
        <v>895.11</v>
      </c>
      <c r="E626" s="663">
        <v>11345.11</v>
      </c>
      <c r="F626" s="662" t="s">
        <v>2228</v>
      </c>
      <c r="G626" s="662" t="s">
        <v>2285</v>
      </c>
      <c r="H626" s="657"/>
      <c r="I626" s="656"/>
      <c r="J626" s="656"/>
      <c r="K626" s="656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2" t="s">
        <v>1736</v>
      </c>
      <c r="B627" s="662" t="s">
        <v>1737</v>
      </c>
      <c r="C627" s="663">
        <v>23512.5</v>
      </c>
      <c r="D627" s="663">
        <v>2013.99</v>
      </c>
      <c r="E627" s="663">
        <v>25526.49</v>
      </c>
      <c r="F627" s="662" t="s">
        <v>2228</v>
      </c>
      <c r="G627" s="662" t="s">
        <v>2285</v>
      </c>
      <c r="H627" s="657"/>
      <c r="I627" s="656"/>
      <c r="J627" s="656"/>
      <c r="K627" s="656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2" t="s">
        <v>1731</v>
      </c>
      <c r="B628" s="662" t="s">
        <v>1732</v>
      </c>
      <c r="C628" s="663">
        <v>20900</v>
      </c>
      <c r="D628" s="663">
        <v>1790.22</v>
      </c>
      <c r="E628" s="663">
        <v>22690.22</v>
      </c>
      <c r="F628" s="662" t="s">
        <v>2228</v>
      </c>
      <c r="G628" s="662" t="s">
        <v>2285</v>
      </c>
      <c r="H628" s="657"/>
      <c r="I628" s="656"/>
      <c r="J628" s="656"/>
      <c r="K628" s="656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2" t="s">
        <v>1644</v>
      </c>
      <c r="B629" s="662" t="s">
        <v>1645</v>
      </c>
      <c r="C629" s="663">
        <v>2612.5</v>
      </c>
      <c r="D629" s="663">
        <v>223.77</v>
      </c>
      <c r="E629" s="663">
        <v>2836.27</v>
      </c>
      <c r="F629" s="662" t="s">
        <v>2228</v>
      </c>
      <c r="G629" s="662" t="s">
        <v>2285</v>
      </c>
      <c r="H629" s="657"/>
      <c r="I629" s="656"/>
      <c r="J629" s="656"/>
      <c r="K629" s="656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2" t="s">
        <v>1773</v>
      </c>
      <c r="B630" s="662" t="s">
        <v>901</v>
      </c>
      <c r="C630" s="663">
        <v>25911.34</v>
      </c>
      <c r="D630" s="663">
        <v>1915.85</v>
      </c>
      <c r="E630" s="663">
        <v>27827.19</v>
      </c>
      <c r="F630" s="662" t="s">
        <v>2228</v>
      </c>
      <c r="G630" s="662" t="s">
        <v>2280</v>
      </c>
      <c r="H630" s="657"/>
      <c r="I630" s="656"/>
      <c r="J630" s="656"/>
      <c r="K630" s="656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2" t="s">
        <v>1686</v>
      </c>
      <c r="B631" s="662" t="s">
        <v>840</v>
      </c>
      <c r="C631" s="663">
        <v>5758.04</v>
      </c>
      <c r="D631" s="663">
        <v>425.74</v>
      </c>
      <c r="E631" s="663">
        <v>6183.78</v>
      </c>
      <c r="F631" s="662" t="s">
        <v>2228</v>
      </c>
      <c r="G631" s="662" t="s">
        <v>2280</v>
      </c>
      <c r="H631" s="657"/>
      <c r="I631" s="656"/>
      <c r="J631" s="656"/>
      <c r="K631" s="656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2" t="s">
        <v>1729</v>
      </c>
      <c r="B632" s="662" t="s">
        <v>872</v>
      </c>
      <c r="C632" s="663">
        <v>12955.72</v>
      </c>
      <c r="D632" s="663">
        <v>957.92</v>
      </c>
      <c r="E632" s="663">
        <v>13913.64</v>
      </c>
      <c r="F632" s="662" t="s">
        <v>2228</v>
      </c>
      <c r="G632" s="662" t="s">
        <v>2280</v>
      </c>
      <c r="H632" s="657"/>
      <c r="I632" s="656"/>
      <c r="J632" s="656"/>
      <c r="K632" s="656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2" t="s">
        <v>1720</v>
      </c>
      <c r="B633" s="662" t="s">
        <v>867</v>
      </c>
      <c r="C633" s="663">
        <v>11516.19</v>
      </c>
      <c r="D633" s="663">
        <v>851.49</v>
      </c>
      <c r="E633" s="663">
        <v>12367.68</v>
      </c>
      <c r="F633" s="662" t="s">
        <v>2228</v>
      </c>
      <c r="G633" s="662" t="s">
        <v>2280</v>
      </c>
      <c r="H633" s="657"/>
      <c r="I633" s="656"/>
      <c r="J633" s="656"/>
      <c r="K633" s="656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2" t="s">
        <v>1641</v>
      </c>
      <c r="B634" s="662" t="s">
        <v>807</v>
      </c>
      <c r="C634" s="663">
        <v>1439.54</v>
      </c>
      <c r="D634" s="663">
        <v>106.44</v>
      </c>
      <c r="E634" s="663">
        <v>1545.98</v>
      </c>
      <c r="F634" s="662" t="s">
        <v>2228</v>
      </c>
      <c r="G634" s="662" t="s">
        <v>2280</v>
      </c>
      <c r="H634" s="657"/>
      <c r="I634" s="656"/>
      <c r="J634" s="656"/>
      <c r="K634" s="656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2" t="s">
        <v>1717</v>
      </c>
      <c r="B635" s="662" t="s">
        <v>879</v>
      </c>
      <c r="C635" s="663">
        <v>23621.4</v>
      </c>
      <c r="D635" s="663">
        <v>2147.4</v>
      </c>
      <c r="E635" s="663">
        <v>25768.799999999999</v>
      </c>
      <c r="F635" s="662" t="s">
        <v>2228</v>
      </c>
      <c r="G635" s="662" t="s">
        <v>2275</v>
      </c>
      <c r="H635" s="657"/>
      <c r="I635" s="656"/>
      <c r="J635" s="656"/>
      <c r="K635" s="656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2" t="s">
        <v>1659</v>
      </c>
      <c r="B636" s="662" t="s">
        <v>828</v>
      </c>
      <c r="C636" s="663">
        <v>5249.2</v>
      </c>
      <c r="D636" s="663">
        <v>477.2</v>
      </c>
      <c r="E636" s="663">
        <v>5726.4</v>
      </c>
      <c r="F636" s="662" t="s">
        <v>2228</v>
      </c>
      <c r="G636" s="662" t="s">
        <v>2275</v>
      </c>
      <c r="H636" s="657"/>
      <c r="I636" s="656"/>
      <c r="J636" s="656"/>
      <c r="K636" s="656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2" t="s">
        <v>1679</v>
      </c>
      <c r="B637" s="662" t="s">
        <v>850</v>
      </c>
      <c r="C637" s="663">
        <v>11810.7</v>
      </c>
      <c r="D637" s="663">
        <v>1073.7</v>
      </c>
      <c r="E637" s="663">
        <v>12884.4</v>
      </c>
      <c r="F637" s="662" t="s">
        <v>2228</v>
      </c>
      <c r="G637" s="662" t="s">
        <v>2275</v>
      </c>
      <c r="H637" s="657"/>
      <c r="I637" s="656"/>
      <c r="J637" s="656"/>
      <c r="K637" s="656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2" t="s">
        <v>1676</v>
      </c>
      <c r="B638" s="662" t="s">
        <v>848</v>
      </c>
      <c r="C638" s="663">
        <v>10498.4</v>
      </c>
      <c r="D638" s="663">
        <v>954.4</v>
      </c>
      <c r="E638" s="663">
        <v>11452.8</v>
      </c>
      <c r="F638" s="662" t="s">
        <v>2228</v>
      </c>
      <c r="G638" s="662" t="s">
        <v>2275</v>
      </c>
      <c r="H638" s="657"/>
      <c r="I638" s="656"/>
      <c r="J638" s="656"/>
      <c r="K638" s="656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2" t="s">
        <v>1622</v>
      </c>
      <c r="B639" s="662" t="s">
        <v>795</v>
      </c>
      <c r="C639" s="663">
        <v>1312.3</v>
      </c>
      <c r="D639" s="663">
        <v>119.3</v>
      </c>
      <c r="E639" s="663">
        <v>1431.6</v>
      </c>
      <c r="F639" s="662" t="s">
        <v>2228</v>
      </c>
      <c r="G639" s="662" t="s">
        <v>2275</v>
      </c>
      <c r="H639" s="657"/>
      <c r="I639" s="656"/>
      <c r="J639" s="656"/>
      <c r="K639" s="656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2" t="s">
        <v>1229</v>
      </c>
      <c r="B640" s="662" t="s">
        <v>878</v>
      </c>
      <c r="C640" s="663">
        <v>19986.54</v>
      </c>
      <c r="D640" s="663">
        <v>876.59</v>
      </c>
      <c r="E640" s="663">
        <v>20863.13</v>
      </c>
      <c r="F640" s="662" t="s">
        <v>2228</v>
      </c>
      <c r="G640" s="662" t="s">
        <v>2274</v>
      </c>
      <c r="H640" s="657"/>
      <c r="I640" s="656"/>
      <c r="J640" s="656"/>
      <c r="K640" s="656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2" t="s">
        <v>1235</v>
      </c>
      <c r="B641" s="662" t="s">
        <v>827</v>
      </c>
      <c r="C641" s="663">
        <v>4441.4799999999996</v>
      </c>
      <c r="D641" s="663">
        <v>194.79</v>
      </c>
      <c r="E641" s="663">
        <v>4636.2700000000004</v>
      </c>
      <c r="F641" s="662" t="s">
        <v>2228</v>
      </c>
      <c r="G641" s="662" t="s">
        <v>2274</v>
      </c>
      <c r="H641" s="657"/>
      <c r="I641" s="656"/>
      <c r="J641" s="656"/>
      <c r="K641" s="656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2" t="s">
        <v>1231</v>
      </c>
      <c r="B642" s="662" t="s">
        <v>849</v>
      </c>
      <c r="C642" s="663">
        <v>9993.27</v>
      </c>
      <c r="D642" s="663">
        <v>438.29</v>
      </c>
      <c r="E642" s="663">
        <v>10431.56</v>
      </c>
      <c r="F642" s="662" t="s">
        <v>2228</v>
      </c>
      <c r="G642" s="662" t="s">
        <v>2274</v>
      </c>
      <c r="H642" s="657"/>
      <c r="I642" s="656"/>
      <c r="J642" s="656"/>
      <c r="K642" s="656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2" t="s">
        <v>1232</v>
      </c>
      <c r="B643" s="662" t="s">
        <v>846</v>
      </c>
      <c r="C643" s="663">
        <v>8882.91</v>
      </c>
      <c r="D643" s="663">
        <v>389.59</v>
      </c>
      <c r="E643" s="663">
        <v>9272.5</v>
      </c>
      <c r="F643" s="662" t="s">
        <v>2228</v>
      </c>
      <c r="G643" s="662" t="s">
        <v>2274</v>
      </c>
      <c r="H643" s="657"/>
      <c r="I643" s="656"/>
      <c r="J643" s="656"/>
      <c r="K643" s="656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2" t="s">
        <v>1240</v>
      </c>
      <c r="B644" s="662" t="s">
        <v>793</v>
      </c>
      <c r="C644" s="663">
        <v>1110.32</v>
      </c>
      <c r="D644" s="663">
        <v>48.72</v>
      </c>
      <c r="E644" s="663">
        <v>1159.04</v>
      </c>
      <c r="F644" s="662" t="s">
        <v>2228</v>
      </c>
      <c r="G644" s="662" t="s">
        <v>2274</v>
      </c>
      <c r="H644" s="657"/>
      <c r="I644" s="656"/>
      <c r="J644" s="656"/>
      <c r="K644" s="656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2" t="s">
        <v>1719</v>
      </c>
      <c r="B645" s="662" t="s">
        <v>865</v>
      </c>
      <c r="C645" s="663">
        <v>11104.88</v>
      </c>
      <c r="D645" s="663">
        <v>821.07</v>
      </c>
      <c r="E645" s="663">
        <v>11925.95</v>
      </c>
      <c r="F645" s="662" t="s">
        <v>2228</v>
      </c>
      <c r="G645" s="662" t="s">
        <v>2272</v>
      </c>
      <c r="H645" s="657"/>
      <c r="I645" s="656"/>
      <c r="J645" s="656"/>
      <c r="K645" s="656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2" t="s">
        <v>1660</v>
      </c>
      <c r="B646" s="662" t="s">
        <v>817</v>
      </c>
      <c r="C646" s="663">
        <v>2467.7600000000002</v>
      </c>
      <c r="D646" s="663">
        <v>182.46</v>
      </c>
      <c r="E646" s="663">
        <v>2650.22</v>
      </c>
      <c r="F646" s="662" t="s">
        <v>2228</v>
      </c>
      <c r="G646" s="662" t="s">
        <v>2272</v>
      </c>
      <c r="H646" s="657"/>
      <c r="I646" s="656"/>
      <c r="J646" s="656"/>
      <c r="K646" s="656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2" t="s">
        <v>1684</v>
      </c>
      <c r="B647" s="662" t="s">
        <v>839</v>
      </c>
      <c r="C647" s="663">
        <v>5552.44</v>
      </c>
      <c r="D647" s="663">
        <v>410.54</v>
      </c>
      <c r="E647" s="663">
        <v>5962.98</v>
      </c>
      <c r="F647" s="662" t="s">
        <v>2228</v>
      </c>
      <c r="G647" s="662" t="s">
        <v>2272</v>
      </c>
      <c r="H647" s="657"/>
      <c r="I647" s="656"/>
      <c r="J647" s="656"/>
      <c r="K647" s="656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2" t="s">
        <v>1678</v>
      </c>
      <c r="B648" s="662" t="s">
        <v>835</v>
      </c>
      <c r="C648" s="663">
        <v>4935.5200000000004</v>
      </c>
      <c r="D648" s="663">
        <v>364.92</v>
      </c>
      <c r="E648" s="663">
        <v>5300.44</v>
      </c>
      <c r="F648" s="662" t="s">
        <v>2228</v>
      </c>
      <c r="G648" s="662" t="s">
        <v>2272</v>
      </c>
      <c r="H648" s="657"/>
      <c r="I648" s="656"/>
      <c r="J648" s="656"/>
      <c r="K648" s="656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2" t="s">
        <v>1623</v>
      </c>
      <c r="B649" s="662" t="s">
        <v>784</v>
      </c>
      <c r="C649" s="663">
        <v>616.91999999999996</v>
      </c>
      <c r="D649" s="663">
        <v>45.62</v>
      </c>
      <c r="E649" s="663">
        <v>662.54</v>
      </c>
      <c r="F649" s="662" t="s">
        <v>2228</v>
      </c>
      <c r="G649" s="662" t="s">
        <v>2272</v>
      </c>
      <c r="H649" s="657"/>
      <c r="I649" s="656"/>
      <c r="J649" s="656"/>
      <c r="K649" s="656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2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2" t="s">
        <v>1183</v>
      </c>
      <c r="B650" s="662" t="s">
        <v>687</v>
      </c>
      <c r="C650" s="663">
        <v>7125.18</v>
      </c>
      <c r="D650" s="663">
        <v>-372.35</v>
      </c>
      <c r="E650" s="663">
        <v>6752.83</v>
      </c>
      <c r="F650" s="662" t="s">
        <v>2228</v>
      </c>
      <c r="G650" s="662" t="s">
        <v>2289</v>
      </c>
      <c r="H650" s="657"/>
      <c r="I650" s="656"/>
      <c r="J650" s="656"/>
      <c r="K650" s="656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2" t="s">
        <v>1175</v>
      </c>
      <c r="B651" s="662" t="s">
        <v>894</v>
      </c>
      <c r="C651" s="663">
        <v>24131.25</v>
      </c>
      <c r="D651" s="663">
        <v>-757.38</v>
      </c>
      <c r="E651" s="663">
        <v>23373.87</v>
      </c>
      <c r="F651" s="662" t="s">
        <v>2228</v>
      </c>
      <c r="G651" s="662" t="s">
        <v>2277</v>
      </c>
      <c r="H651" s="657"/>
      <c r="I651" s="656"/>
      <c r="J651" s="656"/>
      <c r="K651" s="656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2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2" t="s">
        <v>1214</v>
      </c>
      <c r="B652" s="662" t="s">
        <v>836</v>
      </c>
      <c r="C652" s="663">
        <v>5362.5</v>
      </c>
      <c r="D652" s="663">
        <v>-168.31</v>
      </c>
      <c r="E652" s="663">
        <v>5194.1899999999996</v>
      </c>
      <c r="F652" s="662" t="s">
        <v>2228</v>
      </c>
      <c r="G652" s="662" t="s">
        <v>2277</v>
      </c>
      <c r="H652" s="657"/>
      <c r="I652" s="656"/>
      <c r="J652" s="656"/>
      <c r="K652" s="656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2" t="s">
        <v>1173</v>
      </c>
      <c r="B653" s="662" t="s">
        <v>944</v>
      </c>
      <c r="C653" s="663">
        <v>64315.68</v>
      </c>
      <c r="D653" s="663">
        <v>3041</v>
      </c>
      <c r="E653" s="663">
        <v>67356.679999999993</v>
      </c>
      <c r="F653" s="662" t="s">
        <v>2228</v>
      </c>
      <c r="G653" s="662" t="s">
        <v>2277</v>
      </c>
      <c r="H653" s="657"/>
      <c r="I653" s="656"/>
      <c r="J653" s="656"/>
      <c r="K653" s="656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2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62" t="s">
        <v>1188</v>
      </c>
      <c r="B654" s="662" t="s">
        <v>866</v>
      </c>
      <c r="C654" s="663">
        <v>12320</v>
      </c>
      <c r="D654" s="663">
        <v>-214.47</v>
      </c>
      <c r="E654" s="663">
        <v>12105.53</v>
      </c>
      <c r="F654" s="662" t="s">
        <v>2228</v>
      </c>
      <c r="G654" s="662" t="s">
        <v>2277</v>
      </c>
      <c r="H654" s="657"/>
      <c r="I654" s="656"/>
      <c r="J654" s="656"/>
      <c r="K654" s="656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62" t="s">
        <v>1226</v>
      </c>
      <c r="B655" s="662" t="s">
        <v>805</v>
      </c>
      <c r="C655" s="663">
        <v>1340.57</v>
      </c>
      <c r="D655" s="663">
        <v>-42.08</v>
      </c>
      <c r="E655" s="663">
        <v>1298.49</v>
      </c>
      <c r="F655" s="662" t="s">
        <v>2228</v>
      </c>
      <c r="G655" s="662" t="s">
        <v>2277</v>
      </c>
      <c r="H655" s="657"/>
      <c r="I655" s="656"/>
      <c r="J655" s="656"/>
      <c r="K655" s="656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2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62" t="s">
        <v>1615</v>
      </c>
      <c r="B656" s="662" t="s">
        <v>789</v>
      </c>
      <c r="C656" s="663">
        <v>1876.98</v>
      </c>
      <c r="D656" s="663">
        <v>115.18</v>
      </c>
      <c r="E656" s="663">
        <v>1992.16</v>
      </c>
      <c r="F656" s="662" t="s">
        <v>2228</v>
      </c>
      <c r="G656" s="662" t="s">
        <v>2260</v>
      </c>
      <c r="H656" s="657"/>
      <c r="I656" s="656"/>
      <c r="J656" s="656"/>
      <c r="K656" s="656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2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62" t="s">
        <v>1607</v>
      </c>
      <c r="B657" s="662" t="s">
        <v>771</v>
      </c>
      <c r="C657" s="663">
        <v>281.60000000000002</v>
      </c>
      <c r="D657" s="663">
        <v>25.6</v>
      </c>
      <c r="E657" s="663">
        <v>307.2</v>
      </c>
      <c r="F657" s="662" t="s">
        <v>2228</v>
      </c>
      <c r="G657" s="662" t="s">
        <v>2260</v>
      </c>
      <c r="H657" s="657"/>
      <c r="I657" s="656"/>
      <c r="J657" s="656"/>
      <c r="K657" s="656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2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62" t="s">
        <v>1611</v>
      </c>
      <c r="B658" s="662" t="s">
        <v>775</v>
      </c>
      <c r="C658" s="663">
        <v>1019.27</v>
      </c>
      <c r="D658" s="663">
        <v>57.59</v>
      </c>
      <c r="E658" s="663">
        <v>1076.8599999999999</v>
      </c>
      <c r="F658" s="662" t="s">
        <v>2228</v>
      </c>
      <c r="G658" s="662" t="s">
        <v>2260</v>
      </c>
      <c r="H658" s="657"/>
      <c r="I658" s="656"/>
      <c r="J658" s="656"/>
      <c r="K658" s="656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2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62" t="s">
        <v>1610</v>
      </c>
      <c r="B659" s="662" t="s">
        <v>774</v>
      </c>
      <c r="C659" s="663">
        <v>563.09</v>
      </c>
      <c r="D659" s="663">
        <v>51.19</v>
      </c>
      <c r="E659" s="663">
        <v>614.28</v>
      </c>
      <c r="F659" s="662" t="s">
        <v>2228</v>
      </c>
      <c r="G659" s="662" t="s">
        <v>2260</v>
      </c>
      <c r="H659" s="657"/>
      <c r="I659" s="656"/>
      <c r="J659" s="656"/>
      <c r="K659" s="656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62" t="s">
        <v>1605</v>
      </c>
      <c r="B660" s="662" t="s">
        <v>765</v>
      </c>
      <c r="C660" s="663">
        <v>70.400000000000006</v>
      </c>
      <c r="D660" s="663">
        <v>6.4</v>
      </c>
      <c r="E660" s="663">
        <v>76.8</v>
      </c>
      <c r="F660" s="662" t="s">
        <v>2228</v>
      </c>
      <c r="G660" s="662" t="s">
        <v>2260</v>
      </c>
      <c r="H660" s="657"/>
      <c r="I660" s="656"/>
      <c r="J660" s="656"/>
      <c r="K660" s="656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62" t="s">
        <v>2427</v>
      </c>
      <c r="B661" s="662" t="s">
        <v>2429</v>
      </c>
      <c r="C661" s="663">
        <v>314495.12</v>
      </c>
      <c r="D661" s="663">
        <v>3242.47</v>
      </c>
      <c r="E661" s="663">
        <v>317737.59000000003</v>
      </c>
      <c r="F661" s="662" t="s">
        <v>2228</v>
      </c>
      <c r="G661" s="662" t="s">
        <v>2429</v>
      </c>
      <c r="H661" s="657"/>
      <c r="I661" s="656"/>
      <c r="J661" s="656"/>
      <c r="K661" s="656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62" t="s">
        <v>1478</v>
      </c>
      <c r="B662" s="662" t="s">
        <v>1479</v>
      </c>
      <c r="C662" s="663">
        <v>0.01</v>
      </c>
      <c r="D662" s="663">
        <v>0</v>
      </c>
      <c r="E662" s="663">
        <v>0.01</v>
      </c>
      <c r="F662" s="662" t="s">
        <v>2229</v>
      </c>
      <c r="G662" s="662" t="s">
        <v>1479</v>
      </c>
      <c r="H662" s="657"/>
      <c r="I662" s="656"/>
      <c r="J662" s="656"/>
      <c r="K662" s="656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4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62" t="s">
        <v>138</v>
      </c>
      <c r="B663" s="662" t="s">
        <v>430</v>
      </c>
      <c r="C663" s="663">
        <v>-21542.61</v>
      </c>
      <c r="D663" s="663">
        <v>-2519.23</v>
      </c>
      <c r="E663" s="663">
        <v>-24061.84</v>
      </c>
      <c r="F663" s="662" t="s">
        <v>2229</v>
      </c>
      <c r="G663" s="662" t="s">
        <v>430</v>
      </c>
      <c r="H663" s="657"/>
      <c r="I663" s="656"/>
      <c r="J663" s="656"/>
      <c r="K663" s="656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62" t="s">
        <v>1123</v>
      </c>
      <c r="B664" s="662" t="s">
        <v>440</v>
      </c>
      <c r="C664" s="663">
        <v>-129552</v>
      </c>
      <c r="D664" s="663">
        <v>-8330</v>
      </c>
      <c r="E664" s="663">
        <v>-137882</v>
      </c>
      <c r="F664" s="662" t="s">
        <v>2229</v>
      </c>
      <c r="G664" s="662" t="s">
        <v>2299</v>
      </c>
      <c r="H664" s="657"/>
      <c r="I664" s="656"/>
      <c r="J664" s="656"/>
      <c r="K664" s="656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62" t="s">
        <v>1144</v>
      </c>
      <c r="B665" s="662" t="s">
        <v>447</v>
      </c>
      <c r="C665" s="663">
        <v>-92279</v>
      </c>
      <c r="D665" s="663">
        <v>-2380</v>
      </c>
      <c r="E665" s="663">
        <v>-94659</v>
      </c>
      <c r="F665" s="662" t="s">
        <v>2229</v>
      </c>
      <c r="G665" s="662" t="s">
        <v>2299</v>
      </c>
      <c r="H665" s="657"/>
      <c r="I665" s="656"/>
      <c r="J665" s="656"/>
      <c r="K665" s="656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62" t="s">
        <v>1106</v>
      </c>
      <c r="B666" s="662" t="s">
        <v>433</v>
      </c>
      <c r="C666" s="663">
        <v>-189080.2</v>
      </c>
      <c r="D666" s="663">
        <v>-14102</v>
      </c>
      <c r="E666" s="663">
        <v>-203182.2</v>
      </c>
      <c r="F666" s="662" t="s">
        <v>2229</v>
      </c>
      <c r="G666" s="662" t="s">
        <v>2298</v>
      </c>
      <c r="H666" s="657"/>
      <c r="I666" s="656"/>
      <c r="J666" s="656"/>
      <c r="K666" s="656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62" t="s">
        <v>1098</v>
      </c>
      <c r="B667" s="662" t="s">
        <v>428</v>
      </c>
      <c r="C667" s="663">
        <v>-310629.99</v>
      </c>
      <c r="D667" s="663">
        <v>-24453</v>
      </c>
      <c r="E667" s="663">
        <v>-335082.99</v>
      </c>
      <c r="F667" s="662" t="s">
        <v>2229</v>
      </c>
      <c r="G667" s="662" t="s">
        <v>428</v>
      </c>
      <c r="H667" s="657"/>
      <c r="I667" s="656"/>
      <c r="J667" s="656"/>
      <c r="K667" s="656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62" t="s">
        <v>438</v>
      </c>
      <c r="B668" s="662" t="s">
        <v>439</v>
      </c>
      <c r="C668" s="663">
        <v>-38600</v>
      </c>
      <c r="D668" s="663">
        <v>-3200</v>
      </c>
      <c r="E668" s="663">
        <v>-41800</v>
      </c>
      <c r="F668" s="662" t="s">
        <v>2229</v>
      </c>
      <c r="G668" s="662" t="s">
        <v>428</v>
      </c>
      <c r="H668" s="657"/>
      <c r="I668" s="656"/>
      <c r="J668" s="656"/>
      <c r="K668" s="656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2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62" t="s">
        <v>413</v>
      </c>
      <c r="B669" s="662" t="s">
        <v>414</v>
      </c>
      <c r="C669" s="663">
        <v>-33085</v>
      </c>
      <c r="D669" s="663">
        <v>0</v>
      </c>
      <c r="E669" s="663">
        <v>-33085</v>
      </c>
      <c r="F669" s="662" t="s">
        <v>2300</v>
      </c>
      <c r="G669" s="662" t="s">
        <v>414</v>
      </c>
      <c r="H669" s="657"/>
      <c r="I669" s="656"/>
      <c r="J669" s="656"/>
      <c r="K669" s="656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2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62" t="s">
        <v>801</v>
      </c>
      <c r="B670" s="662" t="s">
        <v>802</v>
      </c>
      <c r="C670" s="663">
        <v>97.05</v>
      </c>
      <c r="D670" s="663">
        <v>0</v>
      </c>
      <c r="E670" s="663">
        <v>97.05</v>
      </c>
      <c r="F670" s="662" t="s">
        <v>2300</v>
      </c>
      <c r="G670" s="662" t="s">
        <v>2282</v>
      </c>
      <c r="H670" s="657"/>
      <c r="I670" s="656"/>
      <c r="J670" s="656"/>
      <c r="K670" s="656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62" t="s">
        <v>1062</v>
      </c>
      <c r="B671" s="662" t="s">
        <v>831</v>
      </c>
      <c r="C671" s="663">
        <v>4528.4799999999996</v>
      </c>
      <c r="D671" s="663">
        <v>411.68</v>
      </c>
      <c r="E671" s="663">
        <v>4940.16</v>
      </c>
      <c r="F671" s="662" t="s">
        <v>2300</v>
      </c>
      <c r="G671" s="662" t="s">
        <v>2282</v>
      </c>
      <c r="H671" s="657"/>
      <c r="I671" s="656"/>
      <c r="J671" s="656"/>
      <c r="K671" s="656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2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62" t="s">
        <v>1480</v>
      </c>
      <c r="B672" s="662" t="s">
        <v>1481</v>
      </c>
      <c r="C672" s="663">
        <v>-202.97</v>
      </c>
      <c r="D672" s="663">
        <v>0</v>
      </c>
      <c r="E672" s="663">
        <v>-202.97</v>
      </c>
      <c r="F672" s="662" t="s">
        <v>2300</v>
      </c>
      <c r="G672" s="662" t="s">
        <v>1481</v>
      </c>
      <c r="H672" s="657"/>
      <c r="I672" s="656"/>
      <c r="J672" s="656"/>
      <c r="K672" s="656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2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62" t="s">
        <v>1482</v>
      </c>
      <c r="B673" s="662" t="s">
        <v>688</v>
      </c>
      <c r="C673" s="663"/>
      <c r="D673" s="663"/>
      <c r="E673" s="663"/>
      <c r="F673" s="662" t="s">
        <v>4</v>
      </c>
      <c r="G673" s="662" t="s">
        <v>352</v>
      </c>
      <c r="H673" s="657"/>
      <c r="I673" s="656">
        <v>15</v>
      </c>
      <c r="J673" s="656">
        <v>2</v>
      </c>
      <c r="K673" s="656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2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62" t="s">
        <v>1483</v>
      </c>
      <c r="B674" s="662" t="s">
        <v>689</v>
      </c>
      <c r="C674" s="663"/>
      <c r="D674" s="663"/>
      <c r="E674" s="663"/>
      <c r="F674" s="662" t="s">
        <v>4</v>
      </c>
      <c r="G674" s="662" t="s">
        <v>382</v>
      </c>
      <c r="H674" s="657"/>
      <c r="I674" s="656">
        <v>17</v>
      </c>
      <c r="J674" s="656">
        <v>-1</v>
      </c>
      <c r="K674" s="656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62" t="s">
        <v>1875</v>
      </c>
      <c r="B675" s="662" t="s">
        <v>1001</v>
      </c>
      <c r="C675" s="663"/>
      <c r="D675" s="663"/>
      <c r="E675" s="663"/>
      <c r="F675" s="662" t="s">
        <v>4</v>
      </c>
      <c r="G675" s="662" t="s">
        <v>353</v>
      </c>
      <c r="H675" s="657"/>
      <c r="I675" s="656">
        <v>8</v>
      </c>
      <c r="J675" s="656">
        <v>-2</v>
      </c>
      <c r="K675" s="656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62" t="s">
        <v>1484</v>
      </c>
      <c r="B676" s="662" t="s">
        <v>690</v>
      </c>
      <c r="C676" s="663"/>
      <c r="D676" s="663"/>
      <c r="E676" s="663"/>
      <c r="F676" s="662" t="s">
        <v>4</v>
      </c>
      <c r="G676" s="662" t="s">
        <v>408</v>
      </c>
      <c r="H676" s="657"/>
      <c r="I676" s="656">
        <v>21</v>
      </c>
      <c r="J676" s="656">
        <v>-3</v>
      </c>
      <c r="K676" s="656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62" t="s">
        <v>1485</v>
      </c>
      <c r="B677" s="662" t="s">
        <v>691</v>
      </c>
      <c r="C677" s="663"/>
      <c r="D677" s="663"/>
      <c r="E677" s="663"/>
      <c r="F677" s="662" t="s">
        <v>4</v>
      </c>
      <c r="G677" s="662" t="s">
        <v>432</v>
      </c>
      <c r="H677" s="657"/>
      <c r="I677" s="656">
        <v>21</v>
      </c>
      <c r="J677" s="656">
        <v>2</v>
      </c>
      <c r="K677" s="656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62" t="s">
        <v>1486</v>
      </c>
      <c r="B678" s="662" t="s">
        <v>1035</v>
      </c>
      <c r="C678" s="663"/>
      <c r="D678" s="663"/>
      <c r="E678" s="663"/>
      <c r="F678" s="662" t="s">
        <v>4</v>
      </c>
      <c r="G678" s="662" t="s">
        <v>819</v>
      </c>
      <c r="H678" s="657"/>
      <c r="I678" s="656">
        <v>15</v>
      </c>
      <c r="J678" s="656">
        <v>3</v>
      </c>
      <c r="K678" s="656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62" t="s">
        <v>2395</v>
      </c>
      <c r="B679" s="662" t="s">
        <v>2396</v>
      </c>
      <c r="C679" s="663"/>
      <c r="D679" s="663"/>
      <c r="E679" s="663"/>
      <c r="F679" s="662" t="s">
        <v>4</v>
      </c>
      <c r="G679" s="662" t="s">
        <v>2386</v>
      </c>
      <c r="H679" s="657"/>
      <c r="I679" s="656">
        <v>-8</v>
      </c>
      <c r="J679" s="656">
        <v>-1</v>
      </c>
      <c r="K679" s="656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2" t="s">
        <v>2352</v>
      </c>
      <c r="B680" s="662" t="s">
        <v>2353</v>
      </c>
      <c r="C680" s="663"/>
      <c r="D680" s="663"/>
      <c r="E680" s="663"/>
      <c r="F680" s="662" t="s">
        <v>4</v>
      </c>
      <c r="G680" s="662" t="s">
        <v>2341</v>
      </c>
      <c r="H680" s="657"/>
      <c r="I680" s="656">
        <v>-13</v>
      </c>
      <c r="J680" s="656">
        <v>-1</v>
      </c>
      <c r="K680" s="656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2" t="s">
        <v>2410</v>
      </c>
      <c r="B681" s="662" t="s">
        <v>2411</v>
      </c>
      <c r="C681" s="663"/>
      <c r="D681" s="663"/>
      <c r="E681" s="663"/>
      <c r="F681" s="662" t="s">
        <v>4</v>
      </c>
      <c r="G681" s="662" t="s">
        <v>2407</v>
      </c>
      <c r="H681" s="657"/>
      <c r="I681" s="656">
        <v>-1</v>
      </c>
      <c r="J681" s="656">
        <v>0</v>
      </c>
      <c r="K681" s="656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2" t="s">
        <v>2354</v>
      </c>
      <c r="B682" s="662" t="s">
        <v>2355</v>
      </c>
      <c r="C682" s="663"/>
      <c r="D682" s="663"/>
      <c r="E682" s="663"/>
      <c r="F682" s="662" t="s">
        <v>4</v>
      </c>
      <c r="G682" s="662" t="s">
        <v>2343</v>
      </c>
      <c r="H682" s="657"/>
      <c r="I682" s="656">
        <v>-3</v>
      </c>
      <c r="J682" s="656">
        <v>-1</v>
      </c>
      <c r="K682" s="656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2" t="s">
        <v>2356</v>
      </c>
      <c r="B683" s="662" t="s">
        <v>2357</v>
      </c>
      <c r="C683" s="663"/>
      <c r="D683" s="663"/>
      <c r="E683" s="663"/>
      <c r="F683" s="662" t="s">
        <v>4</v>
      </c>
      <c r="G683" s="662" t="s">
        <v>2345</v>
      </c>
      <c r="H683" s="657"/>
      <c r="I683" s="656">
        <v>-12</v>
      </c>
      <c r="J683" s="656">
        <v>-1</v>
      </c>
      <c r="K683" s="656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2" t="s">
        <v>1487</v>
      </c>
      <c r="B684" s="662" t="s">
        <v>693</v>
      </c>
      <c r="C684" s="663"/>
      <c r="D684" s="663"/>
      <c r="E684" s="663"/>
      <c r="F684" s="662" t="s">
        <v>4</v>
      </c>
      <c r="G684" s="662" t="s">
        <v>605</v>
      </c>
      <c r="H684" s="657"/>
      <c r="I684" s="656">
        <v>-4</v>
      </c>
      <c r="J684" s="656">
        <v>0</v>
      </c>
      <c r="K684" s="656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2" t="s">
        <v>1488</v>
      </c>
      <c r="B685" s="662" t="s">
        <v>694</v>
      </c>
      <c r="C685" s="663"/>
      <c r="D685" s="663"/>
      <c r="E685" s="663"/>
      <c r="F685" s="662" t="s">
        <v>4</v>
      </c>
      <c r="G685" s="662" t="s">
        <v>606</v>
      </c>
      <c r="H685" s="657"/>
      <c r="I685" s="656">
        <v>-3</v>
      </c>
      <c r="J685" s="656">
        <v>-1</v>
      </c>
      <c r="K685" s="656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2" t="s">
        <v>1876</v>
      </c>
      <c r="B686" s="662" t="s">
        <v>695</v>
      </c>
      <c r="C686" s="663"/>
      <c r="D686" s="663"/>
      <c r="E686" s="663"/>
      <c r="F686" s="662" t="s">
        <v>4</v>
      </c>
      <c r="G686" s="662" t="s">
        <v>607</v>
      </c>
      <c r="H686" s="657"/>
      <c r="I686" s="656">
        <v>-2</v>
      </c>
      <c r="J686" s="656">
        <v>0</v>
      </c>
      <c r="K686" s="656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2" t="s">
        <v>2372</v>
      </c>
      <c r="B687" s="662" t="s">
        <v>2373</v>
      </c>
      <c r="C687" s="663"/>
      <c r="D687" s="663"/>
      <c r="E687" s="663"/>
      <c r="F687" s="662" t="s">
        <v>4</v>
      </c>
      <c r="G687" s="662" t="s">
        <v>2480</v>
      </c>
      <c r="H687" s="657"/>
      <c r="I687" s="656">
        <v>-2</v>
      </c>
      <c r="J687" s="656">
        <v>0</v>
      </c>
      <c r="K687" s="656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2" t="s">
        <v>1990</v>
      </c>
      <c r="B688" s="662" t="s">
        <v>1991</v>
      </c>
      <c r="C688" s="663"/>
      <c r="D688" s="663"/>
      <c r="E688" s="663"/>
      <c r="F688" s="662" t="s">
        <v>4</v>
      </c>
      <c r="G688" s="662" t="s">
        <v>1983</v>
      </c>
      <c r="H688" s="657"/>
      <c r="I688" s="656">
        <v>-5</v>
      </c>
      <c r="J688" s="656">
        <v>0</v>
      </c>
      <c r="K688" s="656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2" t="s">
        <v>2041</v>
      </c>
      <c r="B689" s="662" t="s">
        <v>2042</v>
      </c>
      <c r="C689" s="663"/>
      <c r="D689" s="663"/>
      <c r="E689" s="663"/>
      <c r="F689" s="662" t="s">
        <v>4</v>
      </c>
      <c r="G689" s="662" t="s">
        <v>2028</v>
      </c>
      <c r="H689" s="657"/>
      <c r="I689" s="656">
        <v>-4</v>
      </c>
      <c r="J689" s="656">
        <v>0</v>
      </c>
      <c r="K689" s="656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2" t="s">
        <v>1491</v>
      </c>
      <c r="B690" s="662" t="s">
        <v>698</v>
      </c>
      <c r="C690" s="663"/>
      <c r="D690" s="663"/>
      <c r="E690" s="663"/>
      <c r="F690" s="662" t="s">
        <v>4</v>
      </c>
      <c r="G690" s="662" t="s">
        <v>610</v>
      </c>
      <c r="H690" s="657"/>
      <c r="I690" s="656">
        <v>-4</v>
      </c>
      <c r="J690" s="656">
        <v>0</v>
      </c>
      <c r="K690" s="656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2" t="s">
        <v>2382</v>
      </c>
      <c r="B691" s="662" t="s">
        <v>2383</v>
      </c>
      <c r="C691" s="663"/>
      <c r="D691" s="663"/>
      <c r="E691" s="663"/>
      <c r="F691" s="662" t="s">
        <v>4</v>
      </c>
      <c r="G691" s="662" t="s">
        <v>2379</v>
      </c>
      <c r="H691" s="657"/>
      <c r="I691" s="656">
        <v>-1</v>
      </c>
      <c r="J691" s="656">
        <v>-1</v>
      </c>
      <c r="K691" s="656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2" t="s">
        <v>1493</v>
      </c>
      <c r="B692" s="662" t="s">
        <v>1494</v>
      </c>
      <c r="C692" s="663"/>
      <c r="D692" s="663"/>
      <c r="E692" s="663"/>
      <c r="F692" s="662" t="s">
        <v>4</v>
      </c>
      <c r="G692" s="662" t="s">
        <v>1376</v>
      </c>
      <c r="H692" s="657"/>
      <c r="I692" s="656">
        <v>-2</v>
      </c>
      <c r="J692" s="656">
        <v>0</v>
      </c>
      <c r="K692" s="656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2" t="s">
        <v>2043</v>
      </c>
      <c r="B693" s="662" t="s">
        <v>2044</v>
      </c>
      <c r="C693" s="663"/>
      <c r="D693" s="663"/>
      <c r="E693" s="663"/>
      <c r="F693" s="662" t="s">
        <v>4</v>
      </c>
      <c r="G693" s="662" t="s">
        <v>2030</v>
      </c>
      <c r="H693" s="657"/>
      <c r="I693" s="656">
        <v>-1</v>
      </c>
      <c r="J693" s="656">
        <v>0</v>
      </c>
      <c r="K693" s="656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2" t="s">
        <v>2374</v>
      </c>
      <c r="B694" s="662" t="s">
        <v>2375</v>
      </c>
      <c r="C694" s="663"/>
      <c r="D694" s="663"/>
      <c r="E694" s="663"/>
      <c r="F694" s="662" t="s">
        <v>4</v>
      </c>
      <c r="G694" s="662" t="s">
        <v>2484</v>
      </c>
      <c r="H694" s="657"/>
      <c r="I694" s="656">
        <v>-2</v>
      </c>
      <c r="J694" s="656">
        <v>0</v>
      </c>
      <c r="K694" s="656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2" t="s">
        <v>1037</v>
      </c>
      <c r="B695" s="662" t="s">
        <v>700</v>
      </c>
      <c r="C695" s="663"/>
      <c r="D695" s="663"/>
      <c r="E695" s="663"/>
      <c r="F695" s="662" t="s">
        <v>4</v>
      </c>
      <c r="G695" s="662" t="s">
        <v>612</v>
      </c>
      <c r="H695" s="657"/>
      <c r="I695" s="656">
        <v>-4</v>
      </c>
      <c r="J695" s="656">
        <v>0</v>
      </c>
      <c r="K695" s="656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2" t="s">
        <v>1924</v>
      </c>
      <c r="B696" s="662" t="s">
        <v>1927</v>
      </c>
      <c r="C696" s="663"/>
      <c r="D696" s="663"/>
      <c r="E696" s="663"/>
      <c r="F696" s="662" t="s">
        <v>4</v>
      </c>
      <c r="G696" s="662" t="s">
        <v>1925</v>
      </c>
      <c r="H696" s="657"/>
      <c r="I696" s="656">
        <v>-6</v>
      </c>
      <c r="J696" s="656">
        <v>0</v>
      </c>
      <c r="K696" s="656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2" t="s">
        <v>1498</v>
      </c>
      <c r="B697" s="662" t="s">
        <v>702</v>
      </c>
      <c r="C697" s="663"/>
      <c r="D697" s="663"/>
      <c r="E697" s="663"/>
      <c r="F697" s="662" t="s">
        <v>4</v>
      </c>
      <c r="G697" s="662" t="s">
        <v>410</v>
      </c>
      <c r="H697" s="657"/>
      <c r="I697" s="656">
        <v>-4</v>
      </c>
      <c r="J697" s="656">
        <v>-3</v>
      </c>
      <c r="K697" s="656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2" t="s">
        <v>1038</v>
      </c>
      <c r="B698" s="662" t="s">
        <v>703</v>
      </c>
      <c r="C698" s="663"/>
      <c r="D698" s="663"/>
      <c r="E698" s="663"/>
      <c r="F698" s="662" t="s">
        <v>4</v>
      </c>
      <c r="G698" s="662" t="s">
        <v>2460</v>
      </c>
      <c r="H698" s="657"/>
      <c r="I698" s="656">
        <v>-2</v>
      </c>
      <c r="J698" s="656">
        <v>0</v>
      </c>
      <c r="K698" s="656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2" t="s">
        <v>1500</v>
      </c>
      <c r="B699" s="662" t="s">
        <v>705</v>
      </c>
      <c r="C699" s="663"/>
      <c r="D699" s="663"/>
      <c r="E699" s="663"/>
      <c r="F699" s="662" t="s">
        <v>4</v>
      </c>
      <c r="G699" s="662" t="s">
        <v>616</v>
      </c>
      <c r="H699" s="657"/>
      <c r="I699" s="656">
        <v>-11</v>
      </c>
      <c r="J699" s="656">
        <v>-1</v>
      </c>
      <c r="K699" s="656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2" t="s">
        <v>1501</v>
      </c>
      <c r="B700" s="662" t="s">
        <v>706</v>
      </c>
      <c r="C700" s="663"/>
      <c r="D700" s="663"/>
      <c r="E700" s="663"/>
      <c r="F700" s="662" t="s">
        <v>4</v>
      </c>
      <c r="G700" s="662" t="s">
        <v>616</v>
      </c>
      <c r="H700" s="657"/>
      <c r="I700" s="656">
        <v>-12</v>
      </c>
      <c r="J700" s="656">
        <v>0</v>
      </c>
      <c r="K700" s="656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2" t="s">
        <v>1502</v>
      </c>
      <c r="B701" s="662" t="s">
        <v>707</v>
      </c>
      <c r="C701" s="663"/>
      <c r="D701" s="663"/>
      <c r="E701" s="663"/>
      <c r="F701" s="662" t="s">
        <v>4</v>
      </c>
      <c r="G701" s="662" t="s">
        <v>423</v>
      </c>
      <c r="H701" s="657"/>
      <c r="I701" s="656">
        <v>-1</v>
      </c>
      <c r="J701" s="656">
        <v>-3</v>
      </c>
      <c r="K701" s="656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2" t="s">
        <v>1503</v>
      </c>
      <c r="B702" s="662" t="s">
        <v>708</v>
      </c>
      <c r="C702" s="663"/>
      <c r="D702" s="663"/>
      <c r="E702" s="663"/>
      <c r="F702" s="662" t="s">
        <v>4</v>
      </c>
      <c r="G702" s="662" t="s">
        <v>412</v>
      </c>
      <c r="H702" s="657"/>
      <c r="I702" s="656">
        <v>-6</v>
      </c>
      <c r="J702" s="656">
        <v>0</v>
      </c>
      <c r="K702" s="656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2" t="s">
        <v>1504</v>
      </c>
      <c r="B703" s="662" t="s">
        <v>709</v>
      </c>
      <c r="C703" s="663"/>
      <c r="D703" s="663"/>
      <c r="E703" s="663"/>
      <c r="F703" s="662" t="s">
        <v>4</v>
      </c>
      <c r="G703" s="662" t="s">
        <v>419</v>
      </c>
      <c r="H703" s="657"/>
      <c r="I703" s="656">
        <v>-4</v>
      </c>
      <c r="J703" s="656">
        <v>0</v>
      </c>
      <c r="K703" s="656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2" t="s">
        <v>2397</v>
      </c>
      <c r="B704" s="662" t="s">
        <v>2398</v>
      </c>
      <c r="C704" s="663"/>
      <c r="D704" s="663"/>
      <c r="E704" s="663"/>
      <c r="F704" s="662" t="s">
        <v>4</v>
      </c>
      <c r="G704" s="662" t="s">
        <v>2388</v>
      </c>
      <c r="H704" s="657"/>
      <c r="I704" s="656">
        <v>-2</v>
      </c>
      <c r="J704" s="656">
        <v>0</v>
      </c>
      <c r="K704" s="656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2" t="s">
        <v>2433</v>
      </c>
      <c r="B705" s="662" t="s">
        <v>710</v>
      </c>
      <c r="C705" s="663"/>
      <c r="D705" s="663"/>
      <c r="E705" s="663"/>
      <c r="F705" s="662" t="s">
        <v>4</v>
      </c>
      <c r="G705" s="662" t="s">
        <v>402</v>
      </c>
      <c r="H705" s="657"/>
      <c r="I705" s="656">
        <v>-22</v>
      </c>
      <c r="J705" s="656">
        <v>-2</v>
      </c>
      <c r="K705" s="656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2" t="s">
        <v>1505</v>
      </c>
      <c r="B706" s="662" t="s">
        <v>711</v>
      </c>
      <c r="C706" s="663"/>
      <c r="D706" s="663"/>
      <c r="E706" s="663"/>
      <c r="F706" s="662" t="s">
        <v>4</v>
      </c>
      <c r="G706" s="662" t="s">
        <v>617</v>
      </c>
      <c r="H706" s="657"/>
      <c r="I706" s="656">
        <v>-15</v>
      </c>
      <c r="J706" s="656">
        <v>-2</v>
      </c>
      <c r="K706" s="656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2" t="s">
        <v>1506</v>
      </c>
      <c r="B707" s="662" t="s">
        <v>712</v>
      </c>
      <c r="C707" s="663"/>
      <c r="D707" s="663"/>
      <c r="E707" s="663"/>
      <c r="F707" s="662" t="s">
        <v>4</v>
      </c>
      <c r="G707" s="662" t="s">
        <v>618</v>
      </c>
      <c r="H707" s="657"/>
      <c r="I707" s="656">
        <v>-10</v>
      </c>
      <c r="J707" s="656">
        <v>-1</v>
      </c>
      <c r="K707" s="656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2" t="s">
        <v>2045</v>
      </c>
      <c r="B708" s="662" t="s">
        <v>2046</v>
      </c>
      <c r="C708" s="663"/>
      <c r="D708" s="663"/>
      <c r="E708" s="663"/>
      <c r="F708" s="662" t="s">
        <v>4</v>
      </c>
      <c r="G708" s="662" t="s">
        <v>2032</v>
      </c>
      <c r="H708" s="657"/>
      <c r="I708" s="656">
        <v>-1</v>
      </c>
      <c r="J708" s="656">
        <v>0</v>
      </c>
      <c r="K708" s="656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2" t="s">
        <v>1507</v>
      </c>
      <c r="B709" s="662" t="s">
        <v>713</v>
      </c>
      <c r="C709" s="663"/>
      <c r="D709" s="663"/>
      <c r="E709" s="663"/>
      <c r="F709" s="662" t="s">
        <v>4</v>
      </c>
      <c r="G709" s="662" t="s">
        <v>619</v>
      </c>
      <c r="H709" s="657"/>
      <c r="I709" s="656">
        <v>-6</v>
      </c>
      <c r="J709" s="656">
        <v>0</v>
      </c>
      <c r="K709" s="656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2" t="s">
        <v>620</v>
      </c>
      <c r="B710" s="662" t="s">
        <v>714</v>
      </c>
      <c r="C710" s="663"/>
      <c r="D710" s="663"/>
      <c r="E710" s="663"/>
      <c r="F710" s="662" t="s">
        <v>4</v>
      </c>
      <c r="G710" s="662" t="s">
        <v>2466</v>
      </c>
      <c r="H710" s="657"/>
      <c r="I710" s="656">
        <v>-12</v>
      </c>
      <c r="J710" s="656">
        <v>0</v>
      </c>
      <c r="K710" s="656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2" t="s">
        <v>1878</v>
      </c>
      <c r="B711" s="662" t="s">
        <v>715</v>
      </c>
      <c r="C711" s="663"/>
      <c r="D711" s="663"/>
      <c r="E711" s="663"/>
      <c r="F711" s="662" t="s">
        <v>4</v>
      </c>
      <c r="G711" s="662" t="s">
        <v>622</v>
      </c>
      <c r="H711" s="657"/>
      <c r="I711" s="656">
        <v>-1</v>
      </c>
      <c r="J711" s="656">
        <v>0</v>
      </c>
      <c r="K711" s="656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2" t="s">
        <v>2463</v>
      </c>
      <c r="B712" s="662" t="s">
        <v>717</v>
      </c>
      <c r="C712" s="663"/>
      <c r="D712" s="663"/>
      <c r="E712" s="663"/>
      <c r="F712" s="662" t="s">
        <v>4</v>
      </c>
      <c r="G712" s="662" t="s">
        <v>624</v>
      </c>
      <c r="H712" s="657"/>
      <c r="I712" s="656">
        <v>-4</v>
      </c>
      <c r="J712" s="656">
        <v>0</v>
      </c>
      <c r="K712" s="656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2" t="s">
        <v>1040</v>
      </c>
      <c r="B713" s="662" t="s">
        <v>718</v>
      </c>
      <c r="C713" s="663"/>
      <c r="D713" s="663"/>
      <c r="E713" s="663"/>
      <c r="F713" s="662" t="s">
        <v>4</v>
      </c>
      <c r="G713" s="662" t="s">
        <v>407</v>
      </c>
      <c r="H713" s="657"/>
      <c r="I713" s="656">
        <v>-2</v>
      </c>
      <c r="J713" s="656">
        <v>0</v>
      </c>
      <c r="K713" s="656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2" t="s">
        <v>1879</v>
      </c>
      <c r="B714" s="662" t="s">
        <v>719</v>
      </c>
      <c r="C714" s="663"/>
      <c r="D714" s="663"/>
      <c r="E714" s="663"/>
      <c r="F714" s="662" t="s">
        <v>4</v>
      </c>
      <c r="G714" s="662" t="s">
        <v>625</v>
      </c>
      <c r="H714" s="657"/>
      <c r="I714" s="657">
        <v>-2</v>
      </c>
      <c r="J714" s="657">
        <v>0</v>
      </c>
      <c r="K714" s="657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2" t="s">
        <v>1510</v>
      </c>
      <c r="B715" s="662" t="s">
        <v>1041</v>
      </c>
      <c r="C715" s="663"/>
      <c r="D715" s="663"/>
      <c r="E715" s="663"/>
      <c r="F715" s="662" t="s">
        <v>4</v>
      </c>
      <c r="G715" s="662" t="s">
        <v>625</v>
      </c>
      <c r="H715" s="657"/>
      <c r="I715" s="657">
        <v>-190</v>
      </c>
      <c r="J715" s="657">
        <v>-14</v>
      </c>
      <c r="K715" s="657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2" t="s">
        <v>1511</v>
      </c>
      <c r="B716" s="662" t="s">
        <v>1042</v>
      </c>
      <c r="C716" s="663"/>
      <c r="D716" s="663"/>
      <c r="E716" s="663"/>
      <c r="F716" s="662" t="s">
        <v>4</v>
      </c>
      <c r="G716" s="662" t="s">
        <v>625</v>
      </c>
      <c r="H716" s="657"/>
      <c r="I716" s="657">
        <v>-51</v>
      </c>
      <c r="J716" s="657">
        <v>0</v>
      </c>
      <c r="K716" s="657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2" t="s">
        <v>1512</v>
      </c>
      <c r="B717" s="662" t="s">
        <v>1513</v>
      </c>
      <c r="C717" s="663"/>
      <c r="D717" s="663"/>
      <c r="E717" s="663"/>
      <c r="F717" s="662" t="s">
        <v>4</v>
      </c>
      <c r="G717" s="662" t="s">
        <v>625</v>
      </c>
      <c r="H717" s="657"/>
      <c r="I717" s="657">
        <v>-150</v>
      </c>
      <c r="J717" s="657">
        <v>-14</v>
      </c>
      <c r="K717" s="657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2" t="s">
        <v>1514</v>
      </c>
      <c r="B718" s="662" t="s">
        <v>1515</v>
      </c>
      <c r="C718" s="663"/>
      <c r="D718" s="663"/>
      <c r="E718" s="663"/>
      <c r="F718" s="662" t="s">
        <v>4</v>
      </c>
      <c r="G718" s="662" t="s">
        <v>625</v>
      </c>
      <c r="H718" s="657"/>
      <c r="I718" s="657">
        <v>-13</v>
      </c>
      <c r="J718" s="657">
        <v>-1</v>
      </c>
      <c r="K718" s="657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62" t="s">
        <v>1517</v>
      </c>
      <c r="B719" s="662" t="s">
        <v>1518</v>
      </c>
      <c r="C719" s="663"/>
      <c r="D719" s="663"/>
      <c r="E719" s="663"/>
      <c r="F719" s="662" t="s">
        <v>4</v>
      </c>
      <c r="G719" s="662" t="s">
        <v>625</v>
      </c>
      <c r="H719" s="657"/>
      <c r="I719" s="657">
        <v>-3</v>
      </c>
      <c r="J719" s="657">
        <v>0</v>
      </c>
      <c r="K719" s="657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62" t="s">
        <v>1519</v>
      </c>
      <c r="B720" s="662" t="s">
        <v>1520</v>
      </c>
      <c r="C720" s="663"/>
      <c r="D720" s="663"/>
      <c r="E720" s="663"/>
      <c r="F720" s="662" t="s">
        <v>4</v>
      </c>
      <c r="G720" s="662" t="s">
        <v>625</v>
      </c>
      <c r="H720" s="657"/>
      <c r="I720" s="657">
        <v>-50</v>
      </c>
      <c r="J720" s="657">
        <v>-4</v>
      </c>
      <c r="K720" s="657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62" t="s">
        <v>1523</v>
      </c>
      <c r="B721" s="662" t="s">
        <v>720</v>
      </c>
      <c r="C721" s="663"/>
      <c r="D721" s="663"/>
      <c r="E721" s="663"/>
      <c r="F721" s="662" t="s">
        <v>4</v>
      </c>
      <c r="G721" s="662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62" t="s">
        <v>2062</v>
      </c>
      <c r="B722" s="662" t="s">
        <v>2063</v>
      </c>
      <c r="C722" s="663"/>
      <c r="D722" s="663"/>
      <c r="E722" s="663"/>
      <c r="F722" s="662" t="s">
        <v>4</v>
      </c>
      <c r="G722" s="662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62" t="s">
        <v>1524</v>
      </c>
      <c r="B723" s="662" t="s">
        <v>721</v>
      </c>
      <c r="C723" s="663"/>
      <c r="D723" s="663"/>
      <c r="E723" s="663"/>
      <c r="F723" s="662" t="s">
        <v>4</v>
      </c>
      <c r="G723" s="662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62" t="s">
        <v>2108</v>
      </c>
      <c r="B724" s="662" t="s">
        <v>2107</v>
      </c>
      <c r="C724" s="663"/>
      <c r="D724" s="663"/>
      <c r="E724" s="663"/>
      <c r="F724" s="662" t="s">
        <v>4</v>
      </c>
      <c r="G724" s="662" t="s">
        <v>2359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62" t="s">
        <v>1525</v>
      </c>
      <c r="B725" s="662" t="s">
        <v>722</v>
      </c>
      <c r="C725" s="663"/>
      <c r="D725" s="663"/>
      <c r="E725" s="663"/>
      <c r="F725" s="662" t="s">
        <v>4</v>
      </c>
      <c r="G725" s="662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62" t="s">
        <v>1526</v>
      </c>
      <c r="B726" s="662" t="s">
        <v>723</v>
      </c>
      <c r="C726" s="663"/>
      <c r="D726" s="663"/>
      <c r="E726" s="663"/>
      <c r="F726" s="662" t="s">
        <v>4</v>
      </c>
      <c r="G726" s="662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62" t="s">
        <v>1527</v>
      </c>
      <c r="B727" s="662" t="s">
        <v>724</v>
      </c>
      <c r="C727" s="663"/>
      <c r="D727" s="663"/>
      <c r="E727" s="663"/>
      <c r="F727" s="662" t="s">
        <v>4</v>
      </c>
      <c r="G727" s="662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62" t="s">
        <v>1528</v>
      </c>
      <c r="B728" s="662" t="s">
        <v>1529</v>
      </c>
      <c r="C728" s="663"/>
      <c r="D728" s="663"/>
      <c r="E728" s="663"/>
      <c r="F728" s="662" t="s">
        <v>4</v>
      </c>
      <c r="G728" s="662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62" t="s">
        <v>1530</v>
      </c>
      <c r="B729" s="662" t="s">
        <v>725</v>
      </c>
      <c r="C729" s="663"/>
      <c r="D729" s="663"/>
      <c r="E729" s="663"/>
      <c r="F729" s="662" t="s">
        <v>4</v>
      </c>
      <c r="G729" s="662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62" t="s">
        <v>1531</v>
      </c>
      <c r="B730" s="662" t="s">
        <v>726</v>
      </c>
      <c r="C730" s="663"/>
      <c r="D730" s="663"/>
      <c r="E730" s="663"/>
      <c r="F730" s="662" t="s">
        <v>4</v>
      </c>
      <c r="G730" s="662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62" t="s">
        <v>1532</v>
      </c>
      <c r="B731" s="662" t="s">
        <v>727</v>
      </c>
      <c r="C731" s="663"/>
      <c r="D731" s="663"/>
      <c r="E731" s="663"/>
      <c r="F731" s="662" t="s">
        <v>4</v>
      </c>
      <c r="G731" s="662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62" t="s">
        <v>1533</v>
      </c>
      <c r="B732" s="662" t="s">
        <v>728</v>
      </c>
      <c r="C732" s="663"/>
      <c r="D732" s="663"/>
      <c r="E732" s="663"/>
      <c r="F732" s="662" t="s">
        <v>4</v>
      </c>
      <c r="G732" s="662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62" t="s">
        <v>1534</v>
      </c>
      <c r="B733" s="662" t="s">
        <v>729</v>
      </c>
      <c r="C733" s="663"/>
      <c r="D733" s="663"/>
      <c r="E733" s="663"/>
      <c r="F733" s="662" t="s">
        <v>4</v>
      </c>
      <c r="G733" s="662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62" t="s">
        <v>1535</v>
      </c>
      <c r="B734" s="662" t="s">
        <v>730</v>
      </c>
      <c r="C734" s="663"/>
      <c r="D734" s="663"/>
      <c r="E734" s="663"/>
      <c r="F734" s="662" t="s">
        <v>4</v>
      </c>
      <c r="G734" s="662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62" t="s">
        <v>1536</v>
      </c>
      <c r="B735" s="662" t="s">
        <v>1044</v>
      </c>
      <c r="C735" s="663"/>
      <c r="D735" s="663"/>
      <c r="E735" s="663"/>
      <c r="F735" s="662" t="s">
        <v>4</v>
      </c>
      <c r="G735" s="662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62" t="s">
        <v>1005</v>
      </c>
      <c r="B736" s="662" t="s">
        <v>1006</v>
      </c>
      <c r="C736" s="663"/>
      <c r="D736" s="663"/>
      <c r="E736" s="663"/>
      <c r="F736" s="662" t="s">
        <v>4</v>
      </c>
      <c r="G736" s="662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2" t="s">
        <v>1538</v>
      </c>
      <c r="B737" s="662" t="s">
        <v>732</v>
      </c>
      <c r="C737" s="663"/>
      <c r="D737" s="663"/>
      <c r="E737" s="663"/>
      <c r="F737" s="662" t="s">
        <v>4</v>
      </c>
      <c r="G737" s="662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62" t="s">
        <v>1539</v>
      </c>
      <c r="B738" s="662" t="s">
        <v>1540</v>
      </c>
      <c r="C738" s="663"/>
      <c r="D738" s="663"/>
      <c r="E738" s="663"/>
      <c r="F738" s="662" t="s">
        <v>4</v>
      </c>
      <c r="G738" s="662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62" t="s">
        <v>1541</v>
      </c>
      <c r="B739" s="662" t="s">
        <v>733</v>
      </c>
      <c r="C739" s="663"/>
      <c r="D739" s="663"/>
      <c r="E739" s="663"/>
      <c r="F739" s="662" t="s">
        <v>4</v>
      </c>
      <c r="G739" s="662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62" t="s">
        <v>1550</v>
      </c>
      <c r="B740" s="662" t="s">
        <v>1551</v>
      </c>
      <c r="C740" s="663"/>
      <c r="D740" s="663"/>
      <c r="E740" s="663"/>
      <c r="F740" s="662" t="s">
        <v>4</v>
      </c>
      <c r="G740" s="662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62" t="s">
        <v>1552</v>
      </c>
      <c r="B741" s="662" t="s">
        <v>1553</v>
      </c>
      <c r="C741" s="663"/>
      <c r="D741" s="663"/>
      <c r="E741" s="663"/>
      <c r="F741" s="662" t="s">
        <v>4</v>
      </c>
      <c r="G741" s="662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62" t="s">
        <v>2110</v>
      </c>
      <c r="B742" s="662" t="s">
        <v>2109</v>
      </c>
      <c r="C742" s="663"/>
      <c r="D742" s="663"/>
      <c r="E742" s="663"/>
      <c r="F742" s="662" t="s">
        <v>4</v>
      </c>
      <c r="G742" s="662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2" t="s">
        <v>1556</v>
      </c>
      <c r="B743" s="662" t="s">
        <v>734</v>
      </c>
      <c r="C743" s="663"/>
      <c r="D743" s="663"/>
      <c r="E743" s="663"/>
      <c r="F743" s="662" t="s">
        <v>4</v>
      </c>
      <c r="G743" s="662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62" t="s">
        <v>1557</v>
      </c>
      <c r="B744" s="662" t="s">
        <v>735</v>
      </c>
      <c r="C744" s="663"/>
      <c r="D744" s="663"/>
      <c r="E744" s="663"/>
      <c r="F744" s="662" t="s">
        <v>4</v>
      </c>
      <c r="G744" s="662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62" t="s">
        <v>736</v>
      </c>
      <c r="B745" s="662" t="s">
        <v>737</v>
      </c>
      <c r="C745" s="663"/>
      <c r="D745" s="663"/>
      <c r="E745" s="663"/>
      <c r="F745" s="662" t="s">
        <v>4</v>
      </c>
      <c r="G745" s="662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62" t="s">
        <v>1992</v>
      </c>
      <c r="B746" s="662" t="s">
        <v>1993</v>
      </c>
      <c r="C746" s="663"/>
      <c r="D746" s="663"/>
      <c r="E746" s="663"/>
      <c r="F746" s="662" t="s">
        <v>4</v>
      </c>
      <c r="G746" s="662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2" t="s">
        <v>1558</v>
      </c>
      <c r="B747" s="662" t="s">
        <v>1559</v>
      </c>
      <c r="C747" s="663"/>
      <c r="D747" s="663"/>
      <c r="E747" s="663"/>
      <c r="F747" s="662" t="s">
        <v>4</v>
      </c>
      <c r="G747" s="662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2" t="s">
        <v>2376</v>
      </c>
      <c r="B748" s="662" t="s">
        <v>2377</v>
      </c>
      <c r="C748" s="663"/>
      <c r="D748" s="663"/>
      <c r="E748" s="663"/>
      <c r="F748" s="662" t="s">
        <v>4</v>
      </c>
      <c r="G748" s="662" t="s">
        <v>2360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62" t="s">
        <v>2181</v>
      </c>
      <c r="B749" s="662" t="s">
        <v>2182</v>
      </c>
      <c r="C749" s="663"/>
      <c r="D749" s="663"/>
      <c r="E749" s="663"/>
      <c r="F749" s="662" t="s">
        <v>4</v>
      </c>
      <c r="G749" s="662" t="s">
        <v>2360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62" t="s">
        <v>2074</v>
      </c>
      <c r="B750" s="662" t="s">
        <v>2075</v>
      </c>
      <c r="C750" s="663"/>
      <c r="D750" s="663"/>
      <c r="E750" s="663"/>
      <c r="F750" s="662" t="s">
        <v>4</v>
      </c>
      <c r="G750" s="662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62" t="s">
        <v>1957</v>
      </c>
      <c r="B751" s="662" t="s">
        <v>1958</v>
      </c>
      <c r="C751" s="663"/>
      <c r="D751" s="663"/>
      <c r="E751" s="663"/>
      <c r="F751" s="662" t="s">
        <v>4</v>
      </c>
      <c r="G751" s="662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62" t="s">
        <v>1959</v>
      </c>
      <c r="B752" s="662" t="s">
        <v>1960</v>
      </c>
      <c r="C752" s="663"/>
      <c r="D752" s="663"/>
      <c r="E752" s="663"/>
      <c r="F752" s="662" t="s">
        <v>4</v>
      </c>
      <c r="G752" s="662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62" t="s">
        <v>2434</v>
      </c>
      <c r="B753" s="662" t="s">
        <v>2435</v>
      </c>
      <c r="C753" s="663"/>
      <c r="D753" s="663"/>
      <c r="E753" s="663"/>
      <c r="F753" s="662" t="s">
        <v>4</v>
      </c>
      <c r="G753" s="662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62" t="s">
        <v>2404</v>
      </c>
      <c r="B754" s="662" t="s">
        <v>2405</v>
      </c>
      <c r="C754" s="663"/>
      <c r="D754" s="663"/>
      <c r="E754" s="663"/>
      <c r="F754" s="662" t="s">
        <v>4</v>
      </c>
      <c r="G754" s="662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62" t="s">
        <v>1560</v>
      </c>
      <c r="B755" s="662" t="s">
        <v>738</v>
      </c>
      <c r="C755" s="663"/>
      <c r="D755" s="663"/>
      <c r="E755" s="663"/>
      <c r="F755" s="662" t="s">
        <v>4</v>
      </c>
      <c r="G755" s="662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62" t="s">
        <v>1561</v>
      </c>
      <c r="B756" s="662" t="s">
        <v>739</v>
      </c>
      <c r="C756" s="663"/>
      <c r="D756" s="663"/>
      <c r="E756" s="663"/>
      <c r="F756" s="662" t="s">
        <v>4</v>
      </c>
      <c r="G756" s="662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62" t="s">
        <v>2193</v>
      </c>
      <c r="B757" s="662" t="s">
        <v>2194</v>
      </c>
      <c r="C757" s="663"/>
      <c r="D757" s="663"/>
      <c r="E757" s="663"/>
      <c r="F757" s="662" t="s">
        <v>4</v>
      </c>
      <c r="G757" s="662" t="s">
        <v>2416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62" t="s">
        <v>1562</v>
      </c>
      <c r="B758" s="662" t="s">
        <v>1563</v>
      </c>
      <c r="C758" s="663"/>
      <c r="D758" s="663"/>
      <c r="E758" s="663"/>
      <c r="F758" s="662" t="s">
        <v>4</v>
      </c>
      <c r="G758" s="662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62" t="s">
        <v>1564</v>
      </c>
      <c r="B759" s="662" t="s">
        <v>740</v>
      </c>
      <c r="C759" s="663"/>
      <c r="D759" s="663"/>
      <c r="E759" s="663"/>
      <c r="F759" s="662" t="s">
        <v>4</v>
      </c>
      <c r="G759" s="662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62" t="s">
        <v>1047</v>
      </c>
      <c r="B760" s="662" t="s">
        <v>741</v>
      </c>
      <c r="C760" s="663"/>
      <c r="D760" s="663"/>
      <c r="E760" s="663"/>
      <c r="F760" s="662" t="s">
        <v>4</v>
      </c>
      <c r="G760" s="662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62" t="s">
        <v>1565</v>
      </c>
      <c r="B761" s="662" t="s">
        <v>1566</v>
      </c>
      <c r="C761" s="663"/>
      <c r="D761" s="663"/>
      <c r="E761" s="663"/>
      <c r="F761" s="662" t="s">
        <v>4</v>
      </c>
      <c r="G761" s="662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55" t="s">
        <v>1567</v>
      </c>
      <c r="B762" s="655" t="s">
        <v>742</v>
      </c>
      <c r="C762" s="656"/>
      <c r="D762" s="656"/>
      <c r="E762" s="656"/>
      <c r="F762" s="655" t="s">
        <v>4</v>
      </c>
      <c r="G762" s="655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55" t="s">
        <v>1568</v>
      </c>
      <c r="B763" s="655" t="s">
        <v>743</v>
      </c>
      <c r="C763" s="656"/>
      <c r="D763" s="656"/>
      <c r="E763" s="656"/>
      <c r="F763" s="655" t="s">
        <v>4</v>
      </c>
      <c r="G763" s="655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55" t="s">
        <v>1569</v>
      </c>
      <c r="B764" s="655" t="s">
        <v>744</v>
      </c>
      <c r="C764" s="656"/>
      <c r="D764" s="656"/>
      <c r="E764" s="656"/>
      <c r="F764" s="655" t="s">
        <v>4</v>
      </c>
      <c r="G764" s="655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55" t="s">
        <v>1570</v>
      </c>
      <c r="B765" s="655" t="s">
        <v>745</v>
      </c>
      <c r="C765" s="656"/>
      <c r="D765" s="656"/>
      <c r="E765" s="656"/>
      <c r="F765" s="655" t="s">
        <v>4</v>
      </c>
      <c r="G765" s="655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55" t="s">
        <v>1571</v>
      </c>
      <c r="B766" s="655" t="s">
        <v>746</v>
      </c>
      <c r="C766" s="656"/>
      <c r="D766" s="656"/>
      <c r="E766" s="656"/>
      <c r="F766" s="655" t="s">
        <v>4</v>
      </c>
      <c r="G766" s="655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55" t="s">
        <v>1572</v>
      </c>
      <c r="B767" s="655" t="s">
        <v>1573</v>
      </c>
      <c r="C767" s="656"/>
      <c r="D767" s="656"/>
      <c r="E767" s="656"/>
      <c r="F767" s="655" t="s">
        <v>4</v>
      </c>
      <c r="G767" s="655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55" t="s">
        <v>1574</v>
      </c>
      <c r="B768" s="655" t="s">
        <v>747</v>
      </c>
      <c r="C768" s="656"/>
      <c r="D768" s="656"/>
      <c r="E768" s="656"/>
      <c r="F768" s="655" t="s">
        <v>4</v>
      </c>
      <c r="G768" s="655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55" t="s">
        <v>1048</v>
      </c>
      <c r="B769" s="655" t="s">
        <v>748</v>
      </c>
      <c r="C769" s="656"/>
      <c r="D769" s="656"/>
      <c r="E769" s="656"/>
      <c r="F769" s="655" t="s">
        <v>4</v>
      </c>
      <c r="G769" s="655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55" t="s">
        <v>2183</v>
      </c>
      <c r="B770" s="655" t="s">
        <v>2184</v>
      </c>
      <c r="C770" s="656"/>
      <c r="D770" s="656"/>
      <c r="E770" s="656"/>
      <c r="F770" s="655" t="s">
        <v>4</v>
      </c>
      <c r="G770" s="655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55" t="s">
        <v>2185</v>
      </c>
      <c r="B771" s="655" t="s">
        <v>2186</v>
      </c>
      <c r="C771" s="656"/>
      <c r="D771" s="656"/>
      <c r="E771" s="656"/>
      <c r="F771" s="655" t="s">
        <v>4</v>
      </c>
      <c r="G771" s="655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55" t="s">
        <v>2244</v>
      </c>
      <c r="B772" s="655" t="s">
        <v>2243</v>
      </c>
      <c r="C772" s="656"/>
      <c r="D772" s="656"/>
      <c r="E772" s="656"/>
      <c r="F772" s="655" t="s">
        <v>4</v>
      </c>
      <c r="G772" s="655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55" t="s">
        <v>1575</v>
      </c>
      <c r="B773" s="655" t="s">
        <v>1576</v>
      </c>
      <c r="C773" s="656"/>
      <c r="D773" s="656"/>
      <c r="E773" s="656"/>
      <c r="F773" s="655" t="s">
        <v>4</v>
      </c>
      <c r="G773" s="655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55" t="s">
        <v>1577</v>
      </c>
      <c r="B774" s="655" t="s">
        <v>749</v>
      </c>
      <c r="C774" s="656"/>
      <c r="D774" s="656"/>
      <c r="E774" s="656"/>
      <c r="F774" s="655" t="s">
        <v>4</v>
      </c>
      <c r="G774" s="655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55" t="s">
        <v>1049</v>
      </c>
      <c r="B775" s="655" t="s">
        <v>1050</v>
      </c>
      <c r="C775" s="656"/>
      <c r="D775" s="656"/>
      <c r="E775" s="656"/>
      <c r="F775" s="655" t="s">
        <v>4</v>
      </c>
      <c r="G775" s="655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55" t="s">
        <v>1580</v>
      </c>
      <c r="B776" s="655" t="s">
        <v>1581</v>
      </c>
      <c r="C776" s="656"/>
      <c r="D776" s="656"/>
      <c r="E776" s="656"/>
      <c r="F776" s="655" t="s">
        <v>4</v>
      </c>
      <c r="G776" s="655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55" t="s">
        <v>1582</v>
      </c>
      <c r="B777" s="655" t="s">
        <v>750</v>
      </c>
      <c r="C777" s="656"/>
      <c r="D777" s="656"/>
      <c r="E777" s="656"/>
      <c r="F777" s="655" t="s">
        <v>4</v>
      </c>
      <c r="G777" s="655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55" t="s">
        <v>1583</v>
      </c>
      <c r="B778" s="655" t="s">
        <v>1051</v>
      </c>
      <c r="C778" s="656"/>
      <c r="D778" s="656"/>
      <c r="E778" s="656"/>
      <c r="F778" s="655" t="s">
        <v>4</v>
      </c>
      <c r="G778" s="655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55" t="s">
        <v>2089</v>
      </c>
      <c r="B779" s="655" t="s">
        <v>2090</v>
      </c>
      <c r="C779" s="656"/>
      <c r="D779" s="656"/>
      <c r="E779" s="656"/>
      <c r="F779" s="655" t="s">
        <v>4</v>
      </c>
      <c r="G779" s="655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55" t="s">
        <v>2425</v>
      </c>
      <c r="B780" s="655" t="s">
        <v>2426</v>
      </c>
      <c r="C780" s="656"/>
      <c r="D780" s="656"/>
      <c r="E780" s="656"/>
      <c r="F780" s="655" t="s">
        <v>4</v>
      </c>
      <c r="G780" s="655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55" t="s">
        <v>1584</v>
      </c>
      <c r="B781" s="655" t="s">
        <v>1585</v>
      </c>
      <c r="C781" s="656"/>
      <c r="D781" s="656"/>
      <c r="E781" s="656"/>
      <c r="F781" s="655" t="s">
        <v>4</v>
      </c>
      <c r="G781" s="655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55" t="s">
        <v>1586</v>
      </c>
      <c r="B782" s="655" t="s">
        <v>751</v>
      </c>
      <c r="C782" s="656"/>
      <c r="D782" s="656"/>
      <c r="E782" s="656"/>
      <c r="F782" s="655" t="s">
        <v>4</v>
      </c>
      <c r="G782" s="655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55" t="s">
        <v>1587</v>
      </c>
      <c r="B783" s="655" t="s">
        <v>752</v>
      </c>
      <c r="C783" s="656"/>
      <c r="D783" s="656"/>
      <c r="E783" s="656"/>
      <c r="F783" s="655" t="s">
        <v>4</v>
      </c>
      <c r="G783" s="655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55" t="s">
        <v>1588</v>
      </c>
      <c r="B784" s="655" t="s">
        <v>753</v>
      </c>
      <c r="C784" s="656"/>
      <c r="D784" s="656"/>
      <c r="E784" s="656"/>
      <c r="F784" s="655" t="s">
        <v>4</v>
      </c>
      <c r="G784" s="655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55" t="s">
        <v>1053</v>
      </c>
      <c r="B785" s="655" t="s">
        <v>1054</v>
      </c>
      <c r="C785" s="656"/>
      <c r="D785" s="656"/>
      <c r="E785" s="656"/>
      <c r="F785" s="655" t="s">
        <v>4</v>
      </c>
      <c r="G785" s="655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55" t="s">
        <v>1590</v>
      </c>
      <c r="B786" s="655" t="s">
        <v>1591</v>
      </c>
      <c r="C786" s="656"/>
      <c r="D786" s="656"/>
      <c r="E786" s="656"/>
      <c r="F786" s="655" t="s">
        <v>4</v>
      </c>
      <c r="G786" s="655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55" t="s">
        <v>1592</v>
      </c>
      <c r="B787" s="655" t="s">
        <v>754</v>
      </c>
      <c r="C787" s="656"/>
      <c r="D787" s="656"/>
      <c r="E787" s="656"/>
      <c r="F787" s="655" t="s">
        <v>4</v>
      </c>
      <c r="G787" s="655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55" t="s">
        <v>1055</v>
      </c>
      <c r="B788" s="655" t="s">
        <v>1056</v>
      </c>
      <c r="C788" s="656"/>
      <c r="D788" s="656"/>
      <c r="E788" s="656"/>
      <c r="F788" s="655" t="s">
        <v>4</v>
      </c>
      <c r="G788" s="655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55" t="s">
        <v>1593</v>
      </c>
      <c r="B789" s="655" t="s">
        <v>1594</v>
      </c>
      <c r="C789" s="656"/>
      <c r="D789" s="656"/>
      <c r="E789" s="656"/>
      <c r="F789" s="655" t="s">
        <v>4</v>
      </c>
      <c r="G789" s="655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55" t="s">
        <v>1595</v>
      </c>
      <c r="B790" s="655" t="s">
        <v>755</v>
      </c>
      <c r="C790" s="656"/>
      <c r="D790" s="656"/>
      <c r="E790" s="656"/>
      <c r="F790" s="655" t="s">
        <v>4</v>
      </c>
      <c r="G790" s="655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55" t="s">
        <v>1596</v>
      </c>
      <c r="B791" s="655" t="s">
        <v>756</v>
      </c>
      <c r="C791" s="656"/>
      <c r="D791" s="656"/>
      <c r="E791" s="656"/>
      <c r="F791" s="655" t="s">
        <v>4</v>
      </c>
      <c r="G791" s="655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55" t="s">
        <v>1597</v>
      </c>
      <c r="B792" s="655" t="s">
        <v>1598</v>
      </c>
      <c r="C792" s="656"/>
      <c r="D792" s="656"/>
      <c r="E792" s="656"/>
      <c r="F792" s="655" t="s">
        <v>4</v>
      </c>
      <c r="G792" s="655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55" t="s">
        <v>1599</v>
      </c>
      <c r="B793" s="655" t="s">
        <v>758</v>
      </c>
      <c r="C793" s="656"/>
      <c r="D793" s="656"/>
      <c r="E793" s="656"/>
      <c r="F793" s="655" t="s">
        <v>4</v>
      </c>
      <c r="G793" s="655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55" t="s">
        <v>759</v>
      </c>
      <c r="B794" s="655" t="s">
        <v>760</v>
      </c>
      <c r="C794" s="656"/>
      <c r="D794" s="656"/>
      <c r="E794" s="656"/>
      <c r="F794" s="655" t="s">
        <v>4</v>
      </c>
      <c r="G794" s="655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55" t="s">
        <v>1600</v>
      </c>
      <c r="B795" s="655" t="s">
        <v>761</v>
      </c>
      <c r="C795" s="656"/>
      <c r="D795" s="656"/>
      <c r="E795" s="656"/>
      <c r="F795" s="655" t="s">
        <v>4</v>
      </c>
      <c r="G795" s="655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55" t="s">
        <v>1601</v>
      </c>
      <c r="B796" s="655" t="s">
        <v>762</v>
      </c>
      <c r="C796" s="656"/>
      <c r="D796" s="656"/>
      <c r="E796" s="656"/>
      <c r="F796" s="655" t="s">
        <v>4</v>
      </c>
      <c r="G796" s="655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55" t="s">
        <v>1602</v>
      </c>
      <c r="B797" s="655" t="s">
        <v>1603</v>
      </c>
      <c r="C797" s="656"/>
      <c r="D797" s="656"/>
      <c r="E797" s="656"/>
      <c r="F797" s="655" t="s">
        <v>4</v>
      </c>
      <c r="G797" s="655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55" t="s">
        <v>1604</v>
      </c>
      <c r="B798" s="655" t="s">
        <v>763</v>
      </c>
      <c r="C798" s="656"/>
      <c r="D798" s="656"/>
      <c r="E798" s="656"/>
      <c r="F798" s="655" t="s">
        <v>4</v>
      </c>
      <c r="G798" s="655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55" t="s">
        <v>1595</v>
      </c>
      <c r="B799" s="655" t="s">
        <v>755</v>
      </c>
      <c r="C799" s="656"/>
      <c r="D799" s="656"/>
      <c r="E799" s="656"/>
      <c r="F799" s="655" t="s">
        <v>4</v>
      </c>
      <c r="G799" s="655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55" t="s">
        <v>1596</v>
      </c>
      <c r="B800" s="655" t="s">
        <v>756</v>
      </c>
      <c r="C800" s="656"/>
      <c r="D800" s="656"/>
      <c r="E800" s="656"/>
      <c r="F800" s="655" t="s">
        <v>4</v>
      </c>
      <c r="G800" s="655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55" t="s">
        <v>1597</v>
      </c>
      <c r="B801" s="655" t="s">
        <v>1598</v>
      </c>
      <c r="C801" s="656"/>
      <c r="D801" s="656"/>
      <c r="E801" s="656"/>
      <c r="F801" s="655" t="s">
        <v>4</v>
      </c>
      <c r="G801" s="655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55" t="s">
        <v>1880</v>
      </c>
      <c r="B802" s="655" t="s">
        <v>757</v>
      </c>
      <c r="C802" s="656"/>
      <c r="D802" s="656"/>
      <c r="E802" s="656"/>
      <c r="F802" s="655" t="s">
        <v>4</v>
      </c>
      <c r="G802" s="655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55" t="s">
        <v>1599</v>
      </c>
      <c r="B803" s="655" t="s">
        <v>758</v>
      </c>
      <c r="C803" s="656"/>
      <c r="D803" s="656"/>
      <c r="E803" s="656"/>
      <c r="F803" s="655" t="s">
        <v>4</v>
      </c>
      <c r="G803" s="655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55" t="s">
        <v>759</v>
      </c>
      <c r="B804" s="655" t="s">
        <v>760</v>
      </c>
      <c r="C804" s="656"/>
      <c r="D804" s="656"/>
      <c r="E804" s="656"/>
      <c r="F804" s="655" t="s">
        <v>4</v>
      </c>
      <c r="G804" s="655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55" t="s">
        <v>1600</v>
      </c>
      <c r="B805" s="655" t="s">
        <v>761</v>
      </c>
      <c r="C805" s="656"/>
      <c r="D805" s="656"/>
      <c r="E805" s="656"/>
      <c r="F805" s="655" t="s">
        <v>4</v>
      </c>
      <c r="G805" s="655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55" t="s">
        <v>1601</v>
      </c>
      <c r="B806" s="655" t="s">
        <v>762</v>
      </c>
      <c r="C806" s="656"/>
      <c r="D806" s="656"/>
      <c r="E806" s="656"/>
      <c r="F806" s="655" t="s">
        <v>4</v>
      </c>
      <c r="G806" s="655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55" t="s">
        <v>1602</v>
      </c>
      <c r="B807" s="655" t="s">
        <v>1603</v>
      </c>
      <c r="C807" s="656"/>
      <c r="D807" s="656"/>
      <c r="E807" s="656"/>
      <c r="F807" s="655" t="s">
        <v>4</v>
      </c>
      <c r="G807" s="655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55"/>
      <c r="B1056" s="655"/>
      <c r="C1056" s="656"/>
      <c r="D1056" s="656"/>
      <c r="E1056" s="656"/>
      <c r="F1056" s="655"/>
      <c r="G1056" s="655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55"/>
      <c r="B1057" s="655"/>
      <c r="C1057" s="656"/>
      <c r="D1057" s="656"/>
      <c r="E1057" s="656"/>
      <c r="F1057" s="655"/>
      <c r="G1057" s="655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55"/>
      <c r="B1058" s="655"/>
      <c r="C1058" s="656"/>
      <c r="D1058" s="656"/>
      <c r="E1058" s="656"/>
      <c r="F1058" s="655"/>
      <c r="G1058" s="655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55"/>
      <c r="B1059" s="655"/>
      <c r="C1059" s="656"/>
      <c r="D1059" s="656"/>
      <c r="E1059" s="656"/>
      <c r="F1059" s="655"/>
      <c r="G1059" s="655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55"/>
      <c r="B1060" s="655"/>
      <c r="C1060" s="656"/>
      <c r="D1060" s="656"/>
      <c r="E1060" s="656"/>
      <c r="F1060" s="655"/>
      <c r="G1060" s="655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55"/>
      <c r="B1061" s="655"/>
      <c r="C1061" s="656"/>
      <c r="D1061" s="656"/>
      <c r="E1061" s="656"/>
      <c r="F1061" s="655"/>
      <c r="G1061" s="655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55"/>
      <c r="B1062" s="655"/>
      <c r="C1062" s="656"/>
      <c r="D1062" s="656"/>
      <c r="E1062" s="656"/>
      <c r="F1062" s="655"/>
      <c r="G1062" s="655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55"/>
      <c r="B1063" s="655"/>
      <c r="C1063" s="656"/>
      <c r="D1063" s="656"/>
      <c r="E1063" s="656"/>
      <c r="F1063" s="655"/>
      <c r="G1063" s="655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55"/>
      <c r="B1064" s="655"/>
      <c r="C1064" s="656"/>
      <c r="D1064" s="656"/>
      <c r="E1064" s="656"/>
      <c r="F1064" s="655"/>
      <c r="G1064" s="655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55"/>
      <c r="B1065" s="655"/>
      <c r="C1065" s="656"/>
      <c r="D1065" s="656"/>
      <c r="E1065" s="656"/>
      <c r="F1065" s="655"/>
      <c r="G1065" s="655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55"/>
      <c r="B1066" s="655"/>
      <c r="C1066" s="656"/>
      <c r="D1066" s="656"/>
      <c r="E1066" s="656"/>
      <c r="F1066" s="655"/>
      <c r="G1066" s="655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55"/>
      <c r="B1067" s="655"/>
      <c r="C1067" s="656"/>
      <c r="D1067" s="656"/>
      <c r="E1067" s="656"/>
      <c r="F1067" s="655"/>
      <c r="G1067" s="655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55"/>
      <c r="B1068" s="655"/>
      <c r="C1068" s="656"/>
      <c r="D1068" s="656"/>
      <c r="E1068" s="656"/>
      <c r="F1068" s="655"/>
      <c r="G1068" s="655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55"/>
      <c r="B1069" s="655"/>
      <c r="C1069" s="656"/>
      <c r="D1069" s="656"/>
      <c r="E1069" s="656"/>
      <c r="F1069" s="655"/>
      <c r="G1069" s="655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55"/>
      <c r="B1070" s="655"/>
      <c r="C1070" s="656"/>
      <c r="D1070" s="656"/>
      <c r="E1070" s="656"/>
      <c r="F1070" s="655"/>
      <c r="G1070" s="655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55"/>
      <c r="B1071" s="655"/>
      <c r="C1071" s="656"/>
      <c r="D1071" s="656"/>
      <c r="E1071" s="656"/>
      <c r="F1071" s="655"/>
      <c r="G1071" s="655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55"/>
      <c r="B1072" s="655"/>
      <c r="C1072" s="656"/>
      <c r="D1072" s="656"/>
      <c r="E1072" s="656"/>
      <c r="F1072" s="655"/>
      <c r="G1072" s="655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55"/>
      <c r="B1073" s="655"/>
      <c r="C1073" s="656"/>
      <c r="D1073" s="656"/>
      <c r="E1073" s="656"/>
      <c r="F1073" s="655"/>
      <c r="G1073" s="655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55"/>
      <c r="B1074" s="655"/>
      <c r="C1074" s="656"/>
      <c r="D1074" s="656"/>
      <c r="E1074" s="656"/>
      <c r="F1074" s="655"/>
      <c r="G1074" s="655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55"/>
      <c r="B1075" s="655"/>
      <c r="C1075" s="656"/>
      <c r="D1075" s="656"/>
      <c r="E1075" s="656"/>
      <c r="F1075" s="655"/>
      <c r="G1075" s="655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55"/>
      <c r="B1076" s="655"/>
      <c r="C1076" s="656"/>
      <c r="D1076" s="656"/>
      <c r="E1076" s="656"/>
      <c r="F1076" s="655"/>
      <c r="G1076" s="655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55"/>
      <c r="B1077" s="655"/>
      <c r="C1077" s="656"/>
      <c r="D1077" s="656"/>
      <c r="E1077" s="656"/>
      <c r="F1077" s="655"/>
      <c r="G1077" s="655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55"/>
      <c r="B1078" s="655"/>
      <c r="C1078" s="656"/>
      <c r="D1078" s="656"/>
      <c r="E1078" s="656"/>
      <c r="F1078" s="655"/>
      <c r="G1078" s="655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55"/>
      <c r="B1079" s="655"/>
      <c r="C1079" s="656"/>
      <c r="D1079" s="656"/>
      <c r="E1079" s="656"/>
      <c r="F1079" s="655"/>
      <c r="G1079" s="655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55"/>
      <c r="B1080" s="655"/>
      <c r="C1080" s="656"/>
      <c r="D1080" s="656"/>
      <c r="E1080" s="656"/>
      <c r="F1080" s="655"/>
      <c r="G1080" s="655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55"/>
      <c r="B1081" s="655"/>
      <c r="C1081" s="656"/>
      <c r="D1081" s="656"/>
      <c r="E1081" s="656"/>
      <c r="F1081" s="655"/>
      <c r="G1081" s="655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55"/>
      <c r="B1082" s="655"/>
      <c r="C1082" s="656"/>
      <c r="D1082" s="656"/>
      <c r="E1082" s="656"/>
      <c r="F1082" s="655"/>
      <c r="G1082" s="655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55"/>
      <c r="B1083" s="655"/>
      <c r="C1083" s="656"/>
      <c r="D1083" s="656"/>
      <c r="E1083" s="656"/>
      <c r="F1083" s="655"/>
      <c r="G1083" s="655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55"/>
      <c r="B1084" s="655"/>
      <c r="C1084" s="656"/>
      <c r="D1084" s="656"/>
      <c r="E1084" s="656"/>
      <c r="F1084" s="655"/>
      <c r="G1084" s="655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55"/>
      <c r="B1085" s="655"/>
      <c r="C1085" s="656"/>
      <c r="D1085" s="656"/>
      <c r="E1085" s="656"/>
      <c r="F1085" s="655"/>
      <c r="G1085" s="655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55"/>
      <c r="B1086" s="655"/>
      <c r="C1086" s="656"/>
      <c r="D1086" s="656"/>
      <c r="E1086" s="656"/>
      <c r="F1086" s="655"/>
      <c r="G1086" s="655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55"/>
      <c r="B1087" s="655"/>
      <c r="C1087" s="656"/>
      <c r="D1087" s="656"/>
      <c r="E1087" s="656"/>
      <c r="F1087" s="655"/>
      <c r="G1087" s="655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55"/>
      <c r="B1088" s="655"/>
      <c r="C1088" s="656"/>
      <c r="D1088" s="656"/>
      <c r="E1088" s="656"/>
      <c r="F1088" s="655"/>
      <c r="G1088" s="655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55"/>
      <c r="B1089" s="655"/>
      <c r="C1089" s="656"/>
      <c r="D1089" s="656"/>
      <c r="E1089" s="656"/>
      <c r="F1089" s="655"/>
      <c r="G1089" s="655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55"/>
      <c r="B1090" s="655"/>
      <c r="C1090" s="656"/>
      <c r="D1090" s="656"/>
      <c r="E1090" s="656"/>
      <c r="F1090" s="655"/>
      <c r="G1090" s="655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55"/>
      <c r="B1091" s="655"/>
      <c r="C1091" s="656"/>
      <c r="D1091" s="656"/>
      <c r="E1091" s="656"/>
      <c r="F1091" s="655"/>
      <c r="G1091" s="655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55"/>
      <c r="B1092" s="655"/>
      <c r="C1092" s="656"/>
      <c r="D1092" s="656"/>
      <c r="E1092" s="656"/>
      <c r="F1092" s="655"/>
      <c r="G1092" s="655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55"/>
      <c r="B1093" s="655"/>
      <c r="C1093" s="656"/>
      <c r="D1093" s="656"/>
      <c r="E1093" s="656"/>
      <c r="F1093" s="655"/>
      <c r="G1093" s="655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55"/>
      <c r="B1094" s="655"/>
      <c r="C1094" s="656"/>
      <c r="D1094" s="656"/>
      <c r="E1094" s="656"/>
      <c r="F1094" s="655"/>
      <c r="G1094" s="655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55"/>
      <c r="B1095" s="655"/>
      <c r="C1095" s="656"/>
      <c r="D1095" s="656"/>
      <c r="E1095" s="656"/>
      <c r="F1095" s="655"/>
      <c r="G1095" s="655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55"/>
      <c r="B1096" s="655"/>
      <c r="C1096" s="656"/>
      <c r="D1096" s="656"/>
      <c r="E1096" s="656"/>
      <c r="F1096" s="655"/>
      <c r="G1096" s="655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55"/>
      <c r="B1097" s="655"/>
      <c r="C1097" s="656"/>
      <c r="D1097" s="656"/>
      <c r="E1097" s="656"/>
      <c r="F1097" s="655"/>
      <c r="G1097" s="655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55"/>
      <c r="B1098" s="655"/>
      <c r="C1098" s="656"/>
      <c r="D1098" s="656"/>
      <c r="E1098" s="656"/>
      <c r="F1098" s="655"/>
      <c r="G1098" s="655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55"/>
      <c r="B1099" s="655"/>
      <c r="C1099" s="656"/>
      <c r="D1099" s="656"/>
      <c r="E1099" s="656"/>
      <c r="F1099" s="655"/>
      <c r="G1099" s="655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55"/>
      <c r="B1100" s="655"/>
      <c r="C1100" s="656"/>
      <c r="D1100" s="656"/>
      <c r="E1100" s="656"/>
      <c r="F1100" s="655"/>
      <c r="G1100" s="655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55"/>
      <c r="B1101" s="655"/>
      <c r="C1101" s="656"/>
      <c r="D1101" s="656"/>
      <c r="E1101" s="656"/>
      <c r="F1101" s="655"/>
      <c r="G1101" s="655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55"/>
      <c r="B1102" s="655"/>
      <c r="C1102" s="656"/>
      <c r="D1102" s="656"/>
      <c r="E1102" s="656"/>
      <c r="F1102" s="655"/>
      <c r="G1102" s="655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55"/>
      <c r="B1103" s="655"/>
      <c r="C1103" s="656"/>
      <c r="D1103" s="656"/>
      <c r="E1103" s="656"/>
      <c r="F1103" s="655"/>
      <c r="G1103" s="655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55"/>
      <c r="B1104" s="655"/>
      <c r="C1104" s="656"/>
      <c r="D1104" s="656"/>
      <c r="E1104" s="656"/>
      <c r="F1104" s="655"/>
      <c r="G1104" s="655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55"/>
      <c r="B1105" s="655"/>
      <c r="C1105" s="656"/>
      <c r="D1105" s="656"/>
      <c r="E1105" s="656"/>
      <c r="F1105" s="655"/>
      <c r="G1105" s="655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55"/>
      <c r="B1106" s="655"/>
      <c r="C1106" s="656"/>
      <c r="D1106" s="656"/>
      <c r="E1106" s="656"/>
      <c r="F1106" s="655"/>
      <c r="G1106" s="655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55"/>
      <c r="B1107" s="655"/>
      <c r="C1107" s="656"/>
      <c r="D1107" s="656"/>
      <c r="E1107" s="656"/>
      <c r="F1107" s="655"/>
      <c r="G1107" s="655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55"/>
      <c r="B1108" s="655"/>
      <c r="C1108" s="656"/>
      <c r="D1108" s="656"/>
      <c r="E1108" s="656"/>
      <c r="F1108" s="655"/>
      <c r="G1108" s="655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55"/>
      <c r="B1109" s="655"/>
      <c r="C1109" s="656"/>
      <c r="D1109" s="656"/>
      <c r="E1109" s="656"/>
      <c r="F1109" s="655"/>
      <c r="G1109" s="655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55"/>
      <c r="B1110" s="655"/>
      <c r="C1110" s="656"/>
      <c r="D1110" s="656"/>
      <c r="E1110" s="656"/>
      <c r="F1110" s="655"/>
      <c r="G1110" s="655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55"/>
      <c r="B1111" s="655"/>
      <c r="C1111" s="656"/>
      <c r="D1111" s="656"/>
      <c r="E1111" s="656"/>
      <c r="F1111" s="655"/>
      <c r="G1111" s="655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55"/>
      <c r="B1112" s="655"/>
      <c r="C1112" s="656"/>
      <c r="D1112" s="656"/>
      <c r="E1112" s="656"/>
      <c r="F1112" s="655"/>
      <c r="G1112" s="655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55"/>
      <c r="B1113" s="655"/>
      <c r="C1113" s="656"/>
      <c r="D1113" s="656"/>
      <c r="E1113" s="656"/>
      <c r="F1113" s="655"/>
      <c r="G1113" s="655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55"/>
      <c r="B1114" s="655"/>
      <c r="C1114" s="656"/>
      <c r="D1114" s="656"/>
      <c r="E1114" s="656"/>
      <c r="F1114" s="655"/>
      <c r="G1114" s="655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55"/>
      <c r="B1115" s="655"/>
      <c r="C1115" s="656"/>
      <c r="D1115" s="656"/>
      <c r="E1115" s="656"/>
      <c r="F1115" s="655"/>
      <c r="G1115" s="655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55"/>
      <c r="B1116" s="655"/>
      <c r="C1116" s="656"/>
      <c r="D1116" s="656"/>
      <c r="E1116" s="656"/>
      <c r="F1116" s="655"/>
      <c r="G1116" s="655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55"/>
      <c r="B1117" s="655"/>
      <c r="C1117" s="656"/>
      <c r="D1117" s="656"/>
      <c r="E1117" s="656"/>
      <c r="F1117" s="655"/>
      <c r="G1117" s="655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55"/>
      <c r="B1118" s="655"/>
      <c r="C1118" s="656"/>
      <c r="D1118" s="656"/>
      <c r="E1118" s="656"/>
      <c r="F1118" s="655"/>
      <c r="G1118" s="655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55"/>
      <c r="B1119" s="655"/>
      <c r="C1119" s="656"/>
      <c r="D1119" s="656"/>
      <c r="E1119" s="656"/>
      <c r="F1119" s="655"/>
      <c r="G1119" s="655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55"/>
      <c r="B1120" s="655"/>
      <c r="C1120" s="656"/>
      <c r="D1120" s="656"/>
      <c r="E1120" s="656"/>
      <c r="F1120" s="655"/>
      <c r="G1120" s="655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55"/>
      <c r="B1121" s="655"/>
      <c r="C1121" s="656"/>
      <c r="D1121" s="656"/>
      <c r="E1121" s="656"/>
      <c r="F1121" s="655"/>
      <c r="G1121" s="655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55"/>
      <c r="B1122" s="655"/>
      <c r="C1122" s="656"/>
      <c r="D1122" s="656"/>
      <c r="E1122" s="656"/>
      <c r="F1122" s="655"/>
      <c r="G1122" s="655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55"/>
      <c r="B1123" s="655"/>
      <c r="C1123" s="656"/>
      <c r="D1123" s="656"/>
      <c r="E1123" s="656"/>
      <c r="F1123" s="655"/>
      <c r="G1123" s="655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55"/>
      <c r="B1124" s="655"/>
      <c r="C1124" s="656"/>
      <c r="D1124" s="656"/>
      <c r="E1124" s="656"/>
      <c r="F1124" s="655"/>
      <c r="G1124" s="655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55"/>
      <c r="B1125" s="655"/>
      <c r="C1125" s="656"/>
      <c r="D1125" s="656"/>
      <c r="E1125" s="656"/>
      <c r="F1125" s="655"/>
      <c r="G1125" s="655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55"/>
      <c r="B1126" s="655"/>
      <c r="C1126" s="656"/>
      <c r="D1126" s="656"/>
      <c r="E1126" s="656"/>
      <c r="F1126" s="655"/>
      <c r="G1126" s="655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55"/>
      <c r="B1127" s="655"/>
      <c r="C1127" s="656"/>
      <c r="D1127" s="656"/>
      <c r="E1127" s="656"/>
      <c r="F1127" s="655"/>
      <c r="G1127" s="655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55"/>
      <c r="B1128" s="655"/>
      <c r="C1128" s="656"/>
      <c r="D1128" s="656"/>
      <c r="E1128" s="656"/>
      <c r="F1128" s="655"/>
      <c r="G1128" s="655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55"/>
      <c r="B1129" s="655"/>
      <c r="C1129" s="656"/>
      <c r="D1129" s="656"/>
      <c r="E1129" s="656"/>
      <c r="F1129" s="655"/>
      <c r="G1129" s="655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55"/>
      <c r="B1130" s="655"/>
      <c r="C1130" s="656"/>
      <c r="D1130" s="656"/>
      <c r="E1130" s="656"/>
      <c r="F1130" s="655"/>
      <c r="G1130" s="655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55"/>
      <c r="B1131" s="655"/>
      <c r="C1131" s="656"/>
      <c r="D1131" s="656"/>
      <c r="E1131" s="656"/>
      <c r="F1131" s="655"/>
      <c r="G1131" s="655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55"/>
      <c r="B1132" s="655"/>
      <c r="C1132" s="656"/>
      <c r="D1132" s="656"/>
      <c r="E1132" s="656"/>
      <c r="F1132" s="655"/>
      <c r="G1132" s="655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55"/>
      <c r="B1133" s="655"/>
      <c r="C1133" s="656"/>
      <c r="D1133" s="656"/>
      <c r="E1133" s="656"/>
      <c r="F1133" s="655"/>
      <c r="G1133" s="655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55"/>
      <c r="B1134" s="655"/>
      <c r="C1134" s="656"/>
      <c r="D1134" s="656"/>
      <c r="E1134" s="656"/>
      <c r="F1134" s="655"/>
      <c r="G1134" s="655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55"/>
      <c r="B1135" s="655"/>
      <c r="C1135" s="656"/>
      <c r="D1135" s="656"/>
      <c r="E1135" s="656"/>
      <c r="F1135" s="655"/>
      <c r="G1135" s="655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55"/>
      <c r="B1136" s="655"/>
      <c r="C1136" s="656"/>
      <c r="D1136" s="656"/>
      <c r="E1136" s="656"/>
      <c r="F1136" s="655"/>
      <c r="G1136" s="655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55"/>
      <c r="B1137" s="655"/>
      <c r="C1137" s="656"/>
      <c r="D1137" s="656"/>
      <c r="E1137" s="656"/>
      <c r="F1137" s="655"/>
      <c r="G1137" s="655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55"/>
      <c r="B1138" s="655"/>
      <c r="C1138" s="656"/>
      <c r="D1138" s="656"/>
      <c r="E1138" s="656"/>
      <c r="F1138" s="655"/>
      <c r="G1138" s="655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55"/>
      <c r="B1139" s="655"/>
      <c r="C1139" s="656"/>
      <c r="D1139" s="656"/>
      <c r="E1139" s="656"/>
      <c r="F1139" s="655"/>
      <c r="G1139" s="655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55"/>
      <c r="B1140" s="655"/>
      <c r="C1140" s="656"/>
      <c r="D1140" s="656"/>
      <c r="E1140" s="656"/>
      <c r="F1140" s="655"/>
      <c r="G1140" s="655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55"/>
      <c r="B1141" s="655"/>
      <c r="C1141" s="656"/>
      <c r="D1141" s="656"/>
      <c r="E1141" s="656"/>
      <c r="F1141" s="655"/>
      <c r="G1141" s="655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55"/>
      <c r="B1142" s="655"/>
      <c r="C1142" s="656"/>
      <c r="D1142" s="656"/>
      <c r="E1142" s="656"/>
      <c r="F1142" s="655"/>
      <c r="G1142" s="655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55"/>
      <c r="B1143" s="655"/>
      <c r="C1143" s="656"/>
      <c r="D1143" s="656"/>
      <c r="E1143" s="656"/>
      <c r="F1143" s="655"/>
      <c r="G1143" s="655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55"/>
      <c r="B1144" s="655"/>
      <c r="C1144" s="656"/>
      <c r="D1144" s="656"/>
      <c r="E1144" s="656"/>
      <c r="F1144" s="655"/>
      <c r="G1144" s="655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55"/>
      <c r="B1145" s="655"/>
      <c r="C1145" s="656"/>
      <c r="D1145" s="656"/>
      <c r="E1145" s="656"/>
      <c r="F1145" s="655"/>
      <c r="G1145" s="655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55"/>
      <c r="B1146" s="655"/>
      <c r="C1146" s="656"/>
      <c r="D1146" s="656"/>
      <c r="E1146" s="656"/>
      <c r="F1146" s="655"/>
      <c r="G1146" s="655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55"/>
      <c r="B1147" s="655"/>
      <c r="C1147" s="656"/>
      <c r="D1147" s="656"/>
      <c r="E1147" s="656"/>
      <c r="F1147" s="655"/>
      <c r="G1147" s="655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55"/>
      <c r="B1148" s="655"/>
      <c r="C1148" s="656"/>
      <c r="D1148" s="656"/>
      <c r="E1148" s="656"/>
      <c r="F1148" s="655"/>
      <c r="G1148" s="655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55"/>
      <c r="B1149" s="655"/>
      <c r="C1149" s="656"/>
      <c r="D1149" s="656"/>
      <c r="E1149" s="656"/>
      <c r="F1149" s="655"/>
      <c r="G1149" s="655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55"/>
      <c r="B1150" s="655"/>
      <c r="C1150" s="656"/>
      <c r="D1150" s="656"/>
      <c r="E1150" s="656"/>
      <c r="F1150" s="655"/>
      <c r="G1150" s="655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55"/>
      <c r="B1151" s="655"/>
      <c r="C1151" s="656"/>
      <c r="D1151" s="656"/>
      <c r="E1151" s="656"/>
      <c r="F1151" s="655"/>
      <c r="G1151" s="655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55"/>
      <c r="B1152" s="655"/>
      <c r="C1152" s="656"/>
      <c r="D1152" s="656"/>
      <c r="E1152" s="656"/>
      <c r="F1152" s="655"/>
      <c r="G1152" s="655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55"/>
      <c r="B1153" s="655"/>
      <c r="C1153" s="656"/>
      <c r="D1153" s="656"/>
      <c r="E1153" s="656"/>
      <c r="F1153" s="655"/>
      <c r="G1153" s="655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55"/>
      <c r="B1154" s="655"/>
      <c r="C1154" s="656"/>
      <c r="D1154" s="656"/>
      <c r="E1154" s="656"/>
      <c r="F1154" s="655"/>
      <c r="G1154" s="655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55"/>
      <c r="B1155" s="655"/>
      <c r="C1155" s="656"/>
      <c r="D1155" s="656"/>
      <c r="E1155" s="656"/>
      <c r="F1155" s="655"/>
      <c r="G1155" s="655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55"/>
      <c r="B1156" s="655"/>
      <c r="C1156" s="656"/>
      <c r="D1156" s="656"/>
      <c r="E1156" s="656"/>
      <c r="F1156" s="655"/>
      <c r="G1156" s="655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55"/>
      <c r="B1157" s="655"/>
      <c r="C1157" s="656"/>
      <c r="D1157" s="656"/>
      <c r="E1157" s="656"/>
      <c r="F1157" s="655"/>
      <c r="G1157" s="655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55"/>
      <c r="B1158" s="655"/>
      <c r="C1158" s="656"/>
      <c r="D1158" s="656"/>
      <c r="E1158" s="656"/>
      <c r="F1158" s="655"/>
      <c r="G1158" s="655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55"/>
      <c r="B1159" s="655"/>
      <c r="C1159" s="656"/>
      <c r="D1159" s="656"/>
      <c r="E1159" s="656"/>
      <c r="F1159" s="655"/>
      <c r="G1159" s="655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55"/>
      <c r="B1160" s="655"/>
      <c r="C1160" s="656"/>
      <c r="D1160" s="656"/>
      <c r="E1160" s="656"/>
      <c r="F1160" s="655"/>
      <c r="G1160" s="655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55"/>
      <c r="B1161" s="655"/>
      <c r="C1161" s="656"/>
      <c r="D1161" s="656"/>
      <c r="E1161" s="656"/>
      <c r="F1161" s="655"/>
      <c r="G1161" s="655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55"/>
      <c r="B1162" s="655"/>
      <c r="C1162" s="656"/>
      <c r="D1162" s="656"/>
      <c r="E1162" s="656"/>
      <c r="F1162" s="655"/>
      <c r="G1162" s="655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55"/>
      <c r="B1163" s="655"/>
      <c r="C1163" s="656"/>
      <c r="D1163" s="656"/>
      <c r="E1163" s="656"/>
      <c r="F1163" s="655"/>
      <c r="G1163" s="655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55"/>
      <c r="B1164" s="655"/>
      <c r="C1164" s="656"/>
      <c r="D1164" s="656"/>
      <c r="E1164" s="656"/>
      <c r="F1164" s="655"/>
      <c r="G1164" s="655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55"/>
      <c r="B1165" s="655"/>
      <c r="C1165" s="656"/>
      <c r="D1165" s="656"/>
      <c r="E1165" s="656"/>
      <c r="F1165" s="655"/>
      <c r="G1165" s="655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55"/>
      <c r="B1166" s="655"/>
      <c r="C1166" s="656"/>
      <c r="D1166" s="656"/>
      <c r="E1166" s="656"/>
      <c r="F1166" s="655"/>
      <c r="G1166" s="655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55"/>
      <c r="B1167" s="655"/>
      <c r="C1167" s="656"/>
      <c r="D1167" s="656"/>
      <c r="E1167" s="656"/>
      <c r="F1167" s="655"/>
      <c r="G1167" s="655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55"/>
      <c r="B1168" s="655"/>
      <c r="C1168" s="656"/>
      <c r="D1168" s="656"/>
      <c r="E1168" s="656"/>
      <c r="F1168" s="655"/>
      <c r="G1168" s="655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55"/>
      <c r="B1169" s="655"/>
      <c r="C1169" s="656"/>
      <c r="D1169" s="656"/>
      <c r="E1169" s="656"/>
      <c r="F1169" s="655"/>
      <c r="G1169" s="655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55"/>
      <c r="B1170" s="655"/>
      <c r="C1170" s="656"/>
      <c r="D1170" s="656"/>
      <c r="E1170" s="656"/>
      <c r="F1170" s="655"/>
      <c r="G1170" s="655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55"/>
      <c r="B1171" s="655"/>
      <c r="C1171" s="656"/>
      <c r="D1171" s="656"/>
      <c r="E1171" s="656"/>
      <c r="F1171" s="655"/>
      <c r="G1171" s="655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55"/>
      <c r="B1172" s="655"/>
      <c r="C1172" s="656"/>
      <c r="D1172" s="656"/>
      <c r="E1172" s="656"/>
      <c r="F1172" s="655"/>
      <c r="G1172" s="655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55"/>
      <c r="B1173" s="655"/>
      <c r="C1173" s="656"/>
      <c r="D1173" s="656"/>
      <c r="E1173" s="656"/>
      <c r="F1173" s="655"/>
      <c r="G1173" s="655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55"/>
      <c r="B1174" s="655"/>
      <c r="C1174" s="656"/>
      <c r="D1174" s="656"/>
      <c r="E1174" s="656"/>
      <c r="F1174" s="655"/>
      <c r="G1174" s="655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55"/>
      <c r="B1175" s="655"/>
      <c r="C1175" s="656"/>
      <c r="D1175" s="656"/>
      <c r="E1175" s="656"/>
      <c r="F1175" s="655"/>
      <c r="G1175" s="655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55"/>
      <c r="B1176" s="655"/>
      <c r="C1176" s="656"/>
      <c r="D1176" s="656"/>
      <c r="E1176" s="656"/>
      <c r="F1176" s="655"/>
      <c r="G1176" s="655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55"/>
      <c r="B1177" s="655"/>
      <c r="C1177" s="656"/>
      <c r="D1177" s="656"/>
      <c r="E1177" s="656"/>
      <c r="F1177" s="655"/>
      <c r="G1177" s="655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55"/>
      <c r="B1178" s="655"/>
      <c r="C1178" s="656"/>
      <c r="D1178" s="656"/>
      <c r="E1178" s="656"/>
      <c r="F1178" s="655"/>
      <c r="G1178" s="655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55"/>
      <c r="B1179" s="655"/>
      <c r="C1179" s="656"/>
      <c r="D1179" s="656"/>
      <c r="E1179" s="656"/>
      <c r="F1179" s="655"/>
      <c r="G1179" s="655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55"/>
      <c r="B1180" s="655"/>
      <c r="C1180" s="656"/>
      <c r="D1180" s="656"/>
      <c r="E1180" s="656"/>
      <c r="F1180" s="655"/>
      <c r="G1180" s="655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55"/>
      <c r="B1181" s="655"/>
      <c r="C1181" s="656"/>
      <c r="D1181" s="656"/>
      <c r="E1181" s="656"/>
      <c r="F1181" s="655"/>
      <c r="G1181" s="655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55"/>
      <c r="B1182" s="655"/>
      <c r="C1182" s="656"/>
      <c r="D1182" s="656"/>
      <c r="E1182" s="656"/>
      <c r="F1182" s="655"/>
      <c r="G1182" s="655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55"/>
      <c r="B1183" s="655"/>
      <c r="C1183" s="656"/>
      <c r="D1183" s="656"/>
      <c r="E1183" s="656"/>
      <c r="F1183" s="655"/>
      <c r="G1183" s="655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55"/>
      <c r="B1184" s="655"/>
      <c r="C1184" s="656"/>
      <c r="D1184" s="656"/>
      <c r="E1184" s="656"/>
      <c r="F1184" s="655"/>
      <c r="G1184" s="655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55"/>
      <c r="B1185" s="655"/>
      <c r="C1185" s="656"/>
      <c r="D1185" s="656"/>
      <c r="E1185" s="656"/>
      <c r="F1185" s="655"/>
      <c r="G1185" s="655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55"/>
      <c r="B1186" s="655"/>
      <c r="C1186" s="656"/>
      <c r="D1186" s="656"/>
      <c r="E1186" s="656"/>
      <c r="F1186" s="655"/>
      <c r="G1186" s="655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55"/>
      <c r="B1187" s="655"/>
      <c r="C1187" s="656"/>
      <c r="D1187" s="656"/>
      <c r="E1187" s="656"/>
      <c r="F1187" s="655"/>
      <c r="G1187" s="655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55"/>
      <c r="B1188" s="655"/>
      <c r="C1188" s="656"/>
      <c r="D1188" s="656"/>
      <c r="E1188" s="656"/>
      <c r="F1188" s="655"/>
      <c r="G1188" s="655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55"/>
      <c r="B1189" s="655"/>
      <c r="C1189" s="656"/>
      <c r="D1189" s="656"/>
      <c r="E1189" s="656"/>
      <c r="F1189" s="655"/>
      <c r="G1189" s="655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55"/>
      <c r="B1190" s="655"/>
      <c r="C1190" s="656"/>
      <c r="D1190" s="656"/>
      <c r="E1190" s="656"/>
      <c r="F1190" s="655"/>
      <c r="G1190" s="655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55"/>
      <c r="B1191" s="655"/>
      <c r="C1191" s="656"/>
      <c r="D1191" s="656"/>
      <c r="E1191" s="656"/>
      <c r="F1191" s="655"/>
      <c r="G1191" s="655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55"/>
      <c r="B1192" s="655"/>
      <c r="C1192" s="656"/>
      <c r="D1192" s="656"/>
      <c r="E1192" s="656"/>
      <c r="F1192" s="655"/>
      <c r="G1192" s="655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55"/>
      <c r="B1193" s="655"/>
      <c r="C1193" s="656"/>
      <c r="D1193" s="656"/>
      <c r="E1193" s="656"/>
      <c r="F1193" s="655"/>
      <c r="G1193" s="655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55"/>
      <c r="B1194" s="655"/>
      <c r="C1194" s="656"/>
      <c r="D1194" s="656"/>
      <c r="E1194" s="656"/>
      <c r="F1194" s="655"/>
      <c r="G1194" s="655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55"/>
      <c r="B1195" s="655"/>
      <c r="C1195" s="656"/>
      <c r="D1195" s="656"/>
      <c r="E1195" s="656"/>
      <c r="F1195" s="655"/>
      <c r="G1195" s="655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55"/>
      <c r="B1196" s="655"/>
      <c r="C1196" s="656"/>
      <c r="D1196" s="656"/>
      <c r="E1196" s="656"/>
      <c r="F1196" s="655"/>
      <c r="G1196" s="655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55"/>
      <c r="B1197" s="655"/>
      <c r="C1197" s="656"/>
      <c r="D1197" s="656"/>
      <c r="E1197" s="656"/>
      <c r="F1197" s="655"/>
      <c r="G1197" s="655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55"/>
      <c r="B1198" s="655"/>
      <c r="C1198" s="656"/>
      <c r="D1198" s="656"/>
      <c r="E1198" s="656"/>
      <c r="F1198" s="655"/>
      <c r="G1198" s="655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55"/>
      <c r="B1199" s="655"/>
      <c r="C1199" s="656"/>
      <c r="D1199" s="656"/>
      <c r="E1199" s="656"/>
      <c r="F1199" s="655"/>
      <c r="G1199" s="655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55"/>
      <c r="B1200" s="655"/>
      <c r="C1200" s="656"/>
      <c r="D1200" s="656"/>
      <c r="E1200" s="656"/>
      <c r="F1200" s="655"/>
      <c r="G1200" s="655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55"/>
      <c r="B1201" s="655"/>
      <c r="C1201" s="656"/>
      <c r="D1201" s="656"/>
      <c r="E1201" s="656"/>
      <c r="F1201" s="655"/>
      <c r="G1201" s="655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55"/>
      <c r="B1202" s="655"/>
      <c r="C1202" s="656"/>
      <c r="D1202" s="656"/>
      <c r="E1202" s="656"/>
      <c r="F1202" s="655"/>
      <c r="G1202" s="655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55"/>
      <c r="B1203" s="655"/>
      <c r="C1203" s="656"/>
      <c r="D1203" s="656"/>
      <c r="E1203" s="656"/>
      <c r="F1203" s="655"/>
      <c r="G1203" s="655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55"/>
      <c r="B1204" s="655"/>
      <c r="C1204" s="656"/>
      <c r="D1204" s="656"/>
      <c r="E1204" s="656"/>
      <c r="F1204" s="655"/>
      <c r="G1204" s="655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55"/>
      <c r="B1205" s="655"/>
      <c r="C1205" s="656"/>
      <c r="D1205" s="656"/>
      <c r="E1205" s="656"/>
      <c r="F1205" s="655"/>
      <c r="G1205" s="655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55"/>
      <c r="B1206" s="655"/>
      <c r="C1206" s="656"/>
      <c r="D1206" s="656"/>
      <c r="E1206" s="656"/>
      <c r="F1206" s="655"/>
      <c r="G1206" s="655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55"/>
      <c r="B1207" s="655"/>
      <c r="C1207" s="656"/>
      <c r="D1207" s="656"/>
      <c r="E1207" s="656"/>
      <c r="F1207" s="655"/>
      <c r="G1207" s="655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55"/>
      <c r="B1208" s="655"/>
      <c r="C1208" s="656"/>
      <c r="D1208" s="656"/>
      <c r="E1208" s="656"/>
      <c r="F1208" s="655"/>
      <c r="G1208" s="655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55"/>
      <c r="B1209" s="655"/>
      <c r="C1209" s="656"/>
      <c r="D1209" s="656"/>
      <c r="E1209" s="656"/>
      <c r="F1209" s="655"/>
      <c r="G1209" s="655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55"/>
      <c r="B1210" s="655"/>
      <c r="C1210" s="656"/>
      <c r="D1210" s="656"/>
      <c r="E1210" s="656"/>
      <c r="F1210" s="655"/>
      <c r="G1210" s="655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55"/>
      <c r="B1211" s="655"/>
      <c r="C1211" s="656"/>
      <c r="D1211" s="656"/>
      <c r="E1211" s="656"/>
      <c r="F1211" s="655"/>
      <c r="G1211" s="655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55"/>
      <c r="B1212" s="655"/>
      <c r="C1212" s="656"/>
      <c r="D1212" s="656"/>
      <c r="E1212" s="656"/>
      <c r="F1212" s="655"/>
      <c r="G1212" s="655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55"/>
      <c r="B1213" s="655"/>
      <c r="C1213" s="656"/>
      <c r="D1213" s="656"/>
      <c r="E1213" s="656"/>
      <c r="F1213" s="655"/>
      <c r="G1213" s="655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55"/>
      <c r="B1214" s="655"/>
      <c r="C1214" s="656"/>
      <c r="D1214" s="656"/>
      <c r="E1214" s="656"/>
      <c r="F1214" s="655"/>
      <c r="G1214" s="655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55"/>
      <c r="B1215" s="655"/>
      <c r="C1215" s="656"/>
      <c r="D1215" s="656"/>
      <c r="E1215" s="656"/>
      <c r="F1215" s="655"/>
      <c r="G1215" s="655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55"/>
      <c r="B1216" s="655"/>
      <c r="C1216" s="656"/>
      <c r="D1216" s="656"/>
      <c r="E1216" s="656"/>
      <c r="F1216" s="655"/>
      <c r="G1216" s="655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55"/>
      <c r="B1217" s="655"/>
      <c r="C1217" s="656"/>
      <c r="D1217" s="656"/>
      <c r="E1217" s="656"/>
      <c r="F1217" s="655"/>
      <c r="G1217" s="655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55"/>
      <c r="B1218" s="655"/>
      <c r="C1218" s="656"/>
      <c r="D1218" s="656"/>
      <c r="E1218" s="656"/>
      <c r="F1218" s="655"/>
      <c r="G1218" s="655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55"/>
      <c r="B1219" s="655"/>
      <c r="C1219" s="656"/>
      <c r="D1219" s="656"/>
      <c r="E1219" s="656"/>
      <c r="F1219" s="655"/>
      <c r="G1219" s="655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55"/>
      <c r="B1220" s="655"/>
      <c r="C1220" s="656"/>
      <c r="D1220" s="656"/>
      <c r="E1220" s="656"/>
      <c r="F1220" s="655"/>
      <c r="G1220" s="655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55"/>
      <c r="B1221" s="655"/>
      <c r="C1221" s="656"/>
      <c r="D1221" s="656"/>
      <c r="E1221" s="656"/>
      <c r="F1221" s="655"/>
      <c r="G1221" s="655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55"/>
      <c r="B1222" s="655"/>
      <c r="C1222" s="656"/>
      <c r="D1222" s="656"/>
      <c r="E1222" s="656"/>
      <c r="F1222" s="655"/>
      <c r="G1222" s="655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55"/>
      <c r="B1223" s="655"/>
      <c r="C1223" s="656"/>
      <c r="D1223" s="656"/>
      <c r="E1223" s="656"/>
      <c r="F1223" s="655"/>
      <c r="G1223" s="655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55"/>
      <c r="B1224" s="655"/>
      <c r="C1224" s="656"/>
      <c r="D1224" s="656"/>
      <c r="E1224" s="656"/>
      <c r="F1224" s="655"/>
      <c r="G1224" s="655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55"/>
      <c r="B1225" s="655"/>
      <c r="C1225" s="656"/>
      <c r="D1225" s="656"/>
      <c r="E1225" s="656"/>
      <c r="F1225" s="655"/>
      <c r="G1225" s="655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55"/>
      <c r="B1226" s="655"/>
      <c r="C1226" s="656"/>
      <c r="D1226" s="656"/>
      <c r="E1226" s="656"/>
      <c r="F1226" s="655"/>
      <c r="G1226" s="655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55"/>
      <c r="B1227" s="655"/>
      <c r="C1227" s="656"/>
      <c r="D1227" s="656"/>
      <c r="E1227" s="656"/>
      <c r="F1227" s="655"/>
      <c r="G1227" s="655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55"/>
      <c r="B1228" s="655"/>
      <c r="C1228" s="656"/>
      <c r="D1228" s="656"/>
      <c r="E1228" s="656"/>
      <c r="F1228" s="655"/>
      <c r="G1228" s="655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55"/>
      <c r="B1229" s="655"/>
      <c r="C1229" s="656"/>
      <c r="D1229" s="656"/>
      <c r="E1229" s="656"/>
      <c r="F1229" s="655"/>
      <c r="G1229" s="655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67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67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67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67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67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67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1">
    <tabColor rgb="FF00B050"/>
  </sheetPr>
  <dimension ref="A1:AC1066"/>
  <sheetViews>
    <sheetView workbookViewId="0">
      <pane ySplit="1" topLeftCell="A1039" activePane="bottomLeft" state="frozen"/>
      <selection pane="bottomLeft" activeCell="B1068" sqref="B1068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87"/>
      <c r="F2" s="187"/>
      <c r="G2" s="187" t="e">
        <f>+VLOOKUP(Table_1[[#This Row],[Account]],BV_Data_An_Cour!$L:$Q,6,0)</f>
        <v>#N/A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87"/>
      <c r="F3" s="2"/>
      <c r="G3" s="187" t="e">
        <f>+VLOOKUP(Table_1[[#This Row],[Account]],BV_Data_An_Cour!$L:$Q,6,0)</f>
        <v>#N/A</v>
      </c>
      <c r="H3" s="187"/>
      <c r="I3" s="161" t="str">
        <f>Print_Mois!K1</f>
        <v>Véhicules neufs</v>
      </c>
      <c r="K3" s="161" t="s">
        <v>66</v>
      </c>
    </row>
    <row r="4" spans="1:13" ht="15" customHeight="1">
      <c r="A4" s="168" t="s">
        <v>480</v>
      </c>
      <c r="B4" s="169" t="s">
        <v>479</v>
      </c>
      <c r="C4" s="159" t="s">
        <v>273</v>
      </c>
      <c r="D4" s="159">
        <v>0</v>
      </c>
      <c r="E4" s="187"/>
      <c r="G4" s="187" t="e">
        <f>+VLOOKUP(Table_1[[#This Row],[Account]],BV_Data_An_Cour!$L:$Q,6,0)</f>
        <v>#N/A</v>
      </c>
      <c r="H4" s="187"/>
      <c r="I4" s="161" t="str">
        <f>Print_Mois!K89</f>
        <v>Véhicules usagés</v>
      </c>
      <c r="K4" s="161" t="str">
        <f>Print_Mois!C184</f>
        <v>Ajustement M/O</v>
      </c>
      <c r="M4" s="544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87"/>
      <c r="F5" s="187"/>
      <c r="G5" s="187" t="e">
        <f>+VLOOKUP(Table_1[[#This Row],[Account]],BV_Data_An_Cour!$L:$Q,6,0)</f>
        <v>#N/A</v>
      </c>
      <c r="H5" s="187"/>
      <c r="I5" s="161" t="str">
        <f>Print_Mois!AE402</f>
        <v>TOTAL  DES  REVENUS  ET  DÉPENSES</v>
      </c>
      <c r="K5" s="161" t="s">
        <v>53</v>
      </c>
      <c r="M5" s="545" t="s">
        <v>291</v>
      </c>
    </row>
    <row r="6" spans="1:13" ht="15" customHeight="1">
      <c r="A6" s="168" t="s">
        <v>484</v>
      </c>
      <c r="B6" s="169" t="s">
        <v>483</v>
      </c>
      <c r="C6" s="159" t="s">
        <v>273</v>
      </c>
      <c r="D6" s="159">
        <v>0</v>
      </c>
      <c r="E6" s="187"/>
      <c r="F6" s="187"/>
      <c r="G6" s="187" t="e">
        <f>+VLOOKUP(Table_1[[#This Row],[Account]],BV_Data_An_Cour!$L:$Q,6,0)</f>
        <v>#N/A</v>
      </c>
      <c r="H6" s="187"/>
      <c r="I6" s="161" t="str">
        <f>Print_Mois!K168</f>
        <v>Service</v>
      </c>
      <c r="K6" s="161" t="s">
        <v>55</v>
      </c>
      <c r="M6" s="545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87"/>
      <c r="F7" s="187"/>
      <c r="G7" s="187" t="e">
        <f>+VLOOKUP(Table_1[[#This Row],[Account]],BV_Data_An_Cour!$L:$Q,6,0)</f>
        <v>#N/A</v>
      </c>
      <c r="H7" s="187"/>
      <c r="I7" s="161" t="str">
        <f>Print_Mois!K236</f>
        <v>Carrosserie</v>
      </c>
      <c r="K7" s="161" t="str">
        <f>Print_Mois!V491</f>
        <v>Amortissement</v>
      </c>
      <c r="M7" s="545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87"/>
      <c r="F8" s="187"/>
      <c r="G8" s="187" t="e">
        <f>+VLOOKUP(Table_1[[#This Row],[Account]],BV_Data_An_Cour!$L:$Q,6,0)</f>
        <v>#N/A</v>
      </c>
      <c r="H8" s="187"/>
      <c r="I8" s="161" t="str">
        <f>Print_Mois!K291</f>
        <v>Pièces</v>
      </c>
      <c r="K8" s="161" t="s">
        <v>68</v>
      </c>
      <c r="M8" s="545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87"/>
      <c r="F9" s="187"/>
      <c r="G9" s="187" t="e">
        <f>+VLOOKUP(Table_1[[#This Row],[Account]],BV_Data_An_Cour!$L:$Q,6,0)</f>
        <v>#N/A</v>
      </c>
      <c r="H9" s="187"/>
      <c r="I9" s="161" t="s">
        <v>273</v>
      </c>
      <c r="K9" s="161" t="str">
        <f>Print_Mois!V457</f>
        <v>Assurances</v>
      </c>
      <c r="M9" s="545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87"/>
      <c r="F10" s="187"/>
      <c r="G10" s="187" t="e">
        <f>+VLOOKUP(Table_1[[#This Row],[Account]],BV_Data_An_Cour!$L:$Q,6,0)</f>
        <v>#N/A</v>
      </c>
      <c r="H10" s="187"/>
      <c r="I10" s="161"/>
      <c r="K10" s="161" t="s">
        <v>274</v>
      </c>
      <c r="M10" s="545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87"/>
      <c r="F11" s="2"/>
      <c r="G11" s="187" t="e">
        <f>+VLOOKUP(Table_1[[#This Row],[Account]],BV_Data_An_Cour!$L:$Q,6,0)</f>
        <v>#N/A</v>
      </c>
      <c r="H11" s="187"/>
      <c r="I11" s="161"/>
      <c r="K11" s="161" t="s">
        <v>275</v>
      </c>
      <c r="M11" s="544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87"/>
      <c r="F12" s="187"/>
      <c r="G12" s="187" t="e">
        <f>+VLOOKUP(Table_1[[#This Row],[Account]],BV_Data_An_Cour!$L:$Q,6,0)</f>
        <v>#N/A</v>
      </c>
      <c r="H12" s="187"/>
      <c r="K12" s="161" t="str">
        <f>Print_Mois!C6</f>
        <v>Autos détail</v>
      </c>
      <c r="M12" t="s">
        <v>307</v>
      </c>
    </row>
    <row r="13" spans="1:13" ht="15" customHeight="1">
      <c r="A13" s="162" t="s">
        <v>963</v>
      </c>
      <c r="B13" s="163" t="s">
        <v>1820</v>
      </c>
      <c r="C13" s="159" t="s">
        <v>75</v>
      </c>
      <c r="D13" s="159" t="s">
        <v>100</v>
      </c>
      <c r="E13" s="187" t="s">
        <v>285</v>
      </c>
      <c r="F13" s="2"/>
      <c r="G13" s="187" t="str">
        <f>+VLOOKUP(Table_1[[#This Row],[Account]],BV_Data_An_Cour!$L:$Q,6,0)</f>
        <v>7-Dépenses</v>
      </c>
      <c r="H13" s="187"/>
      <c r="K13" s="161" t="str">
        <f>Print_Mois!C312</f>
        <v>Autostock</v>
      </c>
      <c r="M13" t="s">
        <v>308</v>
      </c>
    </row>
    <row r="14" spans="1:13" ht="15" customHeight="1">
      <c r="A14" s="162" t="s">
        <v>939</v>
      </c>
      <c r="B14" s="163" t="s">
        <v>1787</v>
      </c>
      <c r="C14" s="159" t="s">
        <v>140</v>
      </c>
      <c r="D14" s="159" t="s">
        <v>100</v>
      </c>
      <c r="E14" s="187" t="s">
        <v>285</v>
      </c>
      <c r="F14" s="2"/>
      <c r="G14" s="187" t="str">
        <f>+VLOOKUP(Table_1[[#This Row],[Account]],BV_Data_An_Cour!$L:$Q,6,0)</f>
        <v>7-Dépenses</v>
      </c>
      <c r="H14" s="187"/>
      <c r="K14" s="161" t="s">
        <v>26</v>
      </c>
    </row>
    <row r="15" spans="1:13" ht="15" customHeight="1">
      <c r="A15" s="162" t="s">
        <v>496</v>
      </c>
      <c r="B15" s="163" t="s">
        <v>1244</v>
      </c>
      <c r="C15" s="159" t="s">
        <v>273</v>
      </c>
      <c r="D15" s="159">
        <v>0</v>
      </c>
      <c r="E15" s="187"/>
      <c r="F15" s="187"/>
      <c r="G15" s="187" t="e">
        <f>+VLOOKUP(Table_1[[#This Row],[Account]],BV_Data_An_Cour!$L:$Q,6,0)</f>
        <v>#N/A</v>
      </c>
      <c r="H15" s="187"/>
      <c r="K15" s="161" t="s">
        <v>40</v>
      </c>
      <c r="M15" s="549" t="s">
        <v>309</v>
      </c>
    </row>
    <row r="16" spans="1:13" ht="15" customHeight="1">
      <c r="A16" s="157" t="s">
        <v>497</v>
      </c>
      <c r="B16" s="158" t="s">
        <v>1245</v>
      </c>
      <c r="C16" s="159" t="s">
        <v>273</v>
      </c>
      <c r="D16" s="159">
        <v>0</v>
      </c>
      <c r="E16" s="187"/>
      <c r="F16" s="2"/>
      <c r="G16" s="187" t="e">
        <f>+VLOOKUP(Table_1[[#This Row],[Account]],BV_Data_An_Cour!$L:$Q,6,0)</f>
        <v>#N/A</v>
      </c>
      <c r="H16" s="187"/>
      <c r="K16" s="161" t="s">
        <v>56</v>
      </c>
      <c r="M16" t="s">
        <v>307</v>
      </c>
    </row>
    <row r="17" spans="1:13" ht="15" customHeight="1">
      <c r="A17" s="162" t="s">
        <v>498</v>
      </c>
      <c r="B17" s="163" t="s">
        <v>1246</v>
      </c>
      <c r="C17" s="159" t="s">
        <v>273</v>
      </c>
      <c r="D17" s="159">
        <v>0</v>
      </c>
      <c r="E17" s="187"/>
      <c r="F17" s="187"/>
      <c r="G17" s="187" t="e">
        <f>+VLOOKUP(Table_1[[#This Row],[Account]],BV_Data_An_Cour!$L:$Q,6,0)</f>
        <v>#N/A</v>
      </c>
      <c r="H17" s="187"/>
      <c r="K17" s="161" t="s">
        <v>14</v>
      </c>
      <c r="M17" t="s">
        <v>308</v>
      </c>
    </row>
    <row r="18" spans="1:13" ht="15" customHeight="1">
      <c r="A18" s="169" t="s">
        <v>988</v>
      </c>
      <c r="B18" s="169" t="s">
        <v>1247</v>
      </c>
      <c r="C18" s="159" t="s">
        <v>273</v>
      </c>
      <c r="D18" s="159">
        <v>0</v>
      </c>
      <c r="E18" s="187"/>
      <c r="F18" s="187"/>
      <c r="G18" s="187" t="e">
        <f>+VLOOKUP(Table_1[[#This Row],[Account]],BV_Data_An_Cour!$L:$Q,6,0)</f>
        <v>#N/A</v>
      </c>
      <c r="H18" s="187"/>
      <c r="K18" s="161" t="s">
        <v>37</v>
      </c>
    </row>
    <row r="19" spans="1:13" ht="15" customHeight="1">
      <c r="A19" s="162" t="s">
        <v>499</v>
      </c>
      <c r="B19" s="163" t="s">
        <v>1248</v>
      </c>
      <c r="C19" s="159" t="s">
        <v>273</v>
      </c>
      <c r="D19" s="159">
        <v>0</v>
      </c>
      <c r="E19" s="187"/>
      <c r="F19" s="187"/>
      <c r="G19" s="187" t="e">
        <f>+VLOOKUP(Table_1[[#This Row],[Account]],BV_Data_An_Cour!$L:$Q,6,0)</f>
        <v>#N/A</v>
      </c>
      <c r="H19" s="187"/>
      <c r="K19" s="161" t="s">
        <v>65</v>
      </c>
    </row>
    <row r="20" spans="1:13" ht="15" customHeight="1">
      <c r="A20" s="169" t="s">
        <v>500</v>
      </c>
      <c r="B20" s="169" t="s">
        <v>1249</v>
      </c>
      <c r="C20" s="159" t="s">
        <v>273</v>
      </c>
      <c r="D20" s="159">
        <v>0</v>
      </c>
      <c r="E20" s="187"/>
      <c r="F20" s="187"/>
      <c r="G20" s="187" t="e">
        <f>+VLOOKUP(Table_1[[#This Row],[Account]],BV_Data_An_Cour!$L:$Q,6,0)</f>
        <v>#N/A</v>
      </c>
      <c r="H20" s="187"/>
      <c r="K20" s="161" t="s">
        <v>50</v>
      </c>
    </row>
    <row r="21" spans="1:13" ht="15" customHeight="1">
      <c r="A21" s="474" t="s">
        <v>501</v>
      </c>
      <c r="B21" s="482" t="s">
        <v>1250</v>
      </c>
      <c r="C21" s="159" t="s">
        <v>273</v>
      </c>
      <c r="D21" s="159">
        <v>0</v>
      </c>
      <c r="E21" s="187"/>
      <c r="F21" s="187"/>
      <c r="G21" s="187" t="e">
        <f>+VLOOKUP(Table_1[[#This Row],[Account]],BV_Data_An_Cour!$L:$Q,6,0)</f>
        <v>#N/A</v>
      </c>
      <c r="H21" s="187"/>
      <c r="K21" s="161" t="s">
        <v>51</v>
      </c>
    </row>
    <row r="22" spans="1:13" ht="15" customHeight="1">
      <c r="A22" s="168" t="s">
        <v>502</v>
      </c>
      <c r="B22" s="169" t="s">
        <v>1251</v>
      </c>
      <c r="C22" s="159" t="s">
        <v>273</v>
      </c>
      <c r="D22" s="159">
        <v>0</v>
      </c>
      <c r="E22" s="187"/>
      <c r="F22" s="187"/>
      <c r="G22" s="187" t="e">
        <f>+VLOOKUP(Table_1[[#This Row],[Account]],BV_Data_An_Cour!$L:$Q,6,0)</f>
        <v>#N/A</v>
      </c>
      <c r="H22" s="187"/>
      <c r="K22" s="161" t="str">
        <f>Print_Mois!V430</f>
        <v>Bénéfices marginaux</v>
      </c>
    </row>
    <row r="23" spans="1:13" ht="15" customHeight="1">
      <c r="A23" s="169" t="s">
        <v>503</v>
      </c>
      <c r="B23" s="169" t="s">
        <v>1252</v>
      </c>
      <c r="C23" s="159" t="s">
        <v>273</v>
      </c>
      <c r="D23" s="159">
        <v>0</v>
      </c>
      <c r="E23" s="187"/>
      <c r="F23" s="187"/>
      <c r="G23" s="187" t="e">
        <f>+VLOOKUP(Table_1[[#This Row],[Account]],BV_Data_An_Cour!$L:$Q,6,0)</f>
        <v>#N/A</v>
      </c>
      <c r="H23" s="187"/>
      <c r="K23" s="161" t="s">
        <v>69</v>
      </c>
    </row>
    <row r="24" spans="1:13" ht="15" customHeight="1">
      <c r="A24" s="157" t="s">
        <v>504</v>
      </c>
      <c r="B24" s="158" t="s">
        <v>1253</v>
      </c>
      <c r="C24" s="159" t="s">
        <v>273</v>
      </c>
      <c r="D24" s="159">
        <v>0</v>
      </c>
      <c r="E24" s="187"/>
      <c r="F24" s="187"/>
      <c r="G24" s="187" t="e">
        <f>+VLOOKUP(Table_1[[#This Row],[Account]],BV_Data_An_Cour!$L:$Q,6,0)</f>
        <v>#N/A</v>
      </c>
      <c r="H24" s="187"/>
      <c r="K24" s="161" t="s">
        <v>272</v>
      </c>
    </row>
    <row r="25" spans="1:13" ht="15" customHeight="1">
      <c r="A25" s="157" t="s">
        <v>505</v>
      </c>
      <c r="B25" s="158" t="s">
        <v>1254</v>
      </c>
      <c r="C25" s="159" t="s">
        <v>273</v>
      </c>
      <c r="D25" s="159">
        <v>0</v>
      </c>
      <c r="E25" s="187"/>
      <c r="F25" s="2"/>
      <c r="G25" s="187" t="e">
        <f>+VLOOKUP(Table_1[[#This Row],[Account]],BV_Data_An_Cour!$L:$Q,6,0)</f>
        <v>#N/A</v>
      </c>
      <c r="H25" s="187"/>
      <c r="K25" s="161" t="s">
        <v>183</v>
      </c>
    </row>
    <row r="26" spans="1:13" ht="15" customHeight="1">
      <c r="A26" s="476" t="s">
        <v>506</v>
      </c>
      <c r="B26" s="483" t="s">
        <v>1255</v>
      </c>
      <c r="C26" s="159" t="s">
        <v>273</v>
      </c>
      <c r="D26" s="159">
        <v>0</v>
      </c>
      <c r="E26" s="187"/>
      <c r="G26" s="187" t="e">
        <f>+VLOOKUP(Table_1[[#This Row],[Account]],BV_Data_An_Cour!$L:$Q,6,0)</f>
        <v>#N/A</v>
      </c>
      <c r="H26" s="187"/>
      <c r="K26" s="161" t="s">
        <v>87</v>
      </c>
    </row>
    <row r="27" spans="1:13" ht="15" customHeight="1">
      <c r="A27" s="162" t="s">
        <v>507</v>
      </c>
      <c r="B27" s="163" t="s">
        <v>1256</v>
      </c>
      <c r="C27" s="159" t="s">
        <v>273</v>
      </c>
      <c r="D27" s="159">
        <v>0</v>
      </c>
      <c r="E27" s="187"/>
      <c r="F27" s="187"/>
      <c r="G27" s="187" t="e">
        <f>+VLOOKUP(Table_1[[#This Row],[Account]],BV_Data_An_Cour!$L:$Q,6,0)</f>
        <v>#N/A</v>
      </c>
      <c r="H27" s="187"/>
      <c r="K27" s="161" t="s">
        <v>67</v>
      </c>
    </row>
    <row r="28" spans="1:13" ht="15" customHeight="1">
      <c r="A28" s="163" t="s">
        <v>1998</v>
      </c>
      <c r="B28" s="163" t="s">
        <v>1997</v>
      </c>
      <c r="C28" s="159" t="s">
        <v>273</v>
      </c>
      <c r="D28" s="159">
        <v>0</v>
      </c>
      <c r="E28" s="187"/>
      <c r="F28" s="2"/>
      <c r="G28" s="187" t="e">
        <f>+VLOOKUP(Table_1[[#This Row],[Account]],BV_Data_An_Cour!$L:$Q,6,0)</f>
        <v>#N/A</v>
      </c>
      <c r="H28" s="187"/>
      <c r="K28" s="161" t="str">
        <f>Print_Mois!C94</f>
        <v>Certifié</v>
      </c>
    </row>
    <row r="29" spans="1:13" ht="15" customHeight="1">
      <c r="A29" s="168" t="s">
        <v>508</v>
      </c>
      <c r="B29" s="169" t="s">
        <v>1067</v>
      </c>
      <c r="C29" s="159" t="s">
        <v>273</v>
      </c>
      <c r="D29" s="159">
        <v>0</v>
      </c>
      <c r="E29" s="187"/>
      <c r="F29" s="187"/>
      <c r="G29" s="187" t="e">
        <f>+VLOOKUP(Table_1[[#This Row],[Account]],BV_Data_An_Cour!$L:$Q,6,0)</f>
        <v>#N/A</v>
      </c>
      <c r="H29" s="187"/>
      <c r="K29" s="161" t="str">
        <f>Print_Mois!V458</f>
        <v>Chauffage, éclairage</v>
      </c>
    </row>
    <row r="30" spans="1:13" ht="15" customHeight="1">
      <c r="A30" s="169" t="s">
        <v>1258</v>
      </c>
      <c r="B30" s="169" t="s">
        <v>1257</v>
      </c>
      <c r="C30" s="159" t="s">
        <v>273</v>
      </c>
      <c r="D30" s="159">
        <v>0</v>
      </c>
      <c r="E30" s="187"/>
      <c r="G30" s="187" t="e">
        <f>+VLOOKUP(Table_1[[#This Row],[Account]],BV_Data_An_Cour!$L:$Q,6,0)</f>
        <v>#N/A</v>
      </c>
      <c r="H30" s="187"/>
      <c r="K30" s="161" t="str">
        <f>Print_Mois!C32</f>
        <v>Comm. F&amp;I</v>
      </c>
    </row>
    <row r="31" spans="1:13" ht="15" customHeight="1">
      <c r="A31" s="157" t="s">
        <v>990</v>
      </c>
      <c r="B31" s="158" t="s">
        <v>989</v>
      </c>
      <c r="C31" s="159" t="s">
        <v>273</v>
      </c>
      <c r="D31" s="159">
        <v>0</v>
      </c>
      <c r="E31" s="187"/>
      <c r="F31" s="187"/>
      <c r="G31" s="187" t="e">
        <f>+VLOOKUP(Table_1[[#This Row],[Account]],BV_Data_An_Cour!$L:$Q,6,0)</f>
        <v>#N/A</v>
      </c>
      <c r="H31" s="187"/>
      <c r="K31" s="161" t="str">
        <f>Print_Mois!C31</f>
        <v>Comm. vendeurs</v>
      </c>
    </row>
    <row r="32" spans="1:13" ht="15" customHeight="1">
      <c r="A32" s="162" t="s">
        <v>2048</v>
      </c>
      <c r="B32" s="163" t="s">
        <v>2047</v>
      </c>
      <c r="C32" s="159" t="s">
        <v>273</v>
      </c>
      <c r="D32" s="159">
        <v>0</v>
      </c>
      <c r="E32" s="187"/>
      <c r="F32" s="2"/>
      <c r="G32" s="187" t="e">
        <f>+VLOOKUP(Table_1[[#This Row],[Account]],BV_Data_An_Cour!$L:$Q,6,0)</f>
        <v>#N/A</v>
      </c>
      <c r="H32" s="187"/>
      <c r="K32" s="161" t="s">
        <v>16</v>
      </c>
    </row>
    <row r="33" spans="1:11" ht="15" customHeight="1">
      <c r="A33" s="749" t="s">
        <v>2077</v>
      </c>
      <c r="B33" s="750" t="s">
        <v>2076</v>
      </c>
      <c r="C33" s="159" t="s">
        <v>273</v>
      </c>
      <c r="D33" s="159">
        <v>0</v>
      </c>
      <c r="E33" s="187"/>
      <c r="F33" s="2"/>
      <c r="G33" s="187" t="e">
        <f>+VLOOKUP(Table_1[[#This Row],[Account]],BV_Data_An_Cour!$L:$Q,6,0)</f>
        <v>#N/A</v>
      </c>
      <c r="H33" s="187"/>
      <c r="K33" s="470" t="s">
        <v>288</v>
      </c>
    </row>
    <row r="34" spans="1:11" ht="15" customHeight="1">
      <c r="A34" s="476" t="s">
        <v>2114</v>
      </c>
      <c r="B34" s="483" t="s">
        <v>2113</v>
      </c>
      <c r="C34" s="159"/>
      <c r="D34" s="159"/>
      <c r="G34" s="187" t="e">
        <f>+VLOOKUP(Table_1[[#This Row],[Account]],BV_Data_An_Cour!$L:$Q,6,0)</f>
        <v>#N/A</v>
      </c>
      <c r="H34" s="187"/>
      <c r="K34" s="161" t="s">
        <v>276</v>
      </c>
    </row>
    <row r="35" spans="1:11" ht="15" customHeight="1">
      <c r="A35" s="162" t="s">
        <v>2413</v>
      </c>
      <c r="B35" s="158" t="s">
        <v>2412</v>
      </c>
      <c r="C35" s="159" t="s">
        <v>273</v>
      </c>
      <c r="D35" s="159">
        <v>0</v>
      </c>
      <c r="E35" s="493"/>
      <c r="F35" s="160"/>
      <c r="G35" s="493"/>
      <c r="H35" s="187"/>
      <c r="K35" s="161" t="str">
        <f>Print_Mois!V431</f>
        <v>Csst</v>
      </c>
    </row>
    <row r="36" spans="1:11" ht="15" customHeight="1">
      <c r="A36" s="162" t="s">
        <v>2166</v>
      </c>
      <c r="B36" s="158" t="s">
        <v>2165</v>
      </c>
      <c r="C36" s="159" t="s">
        <v>273</v>
      </c>
      <c r="D36" s="159">
        <v>0</v>
      </c>
      <c r="E36" s="493"/>
      <c r="F36" s="160"/>
      <c r="G36" s="187" t="e">
        <f>+VLOOKUP(Table_1[[#This Row],[Account]],BV_Data_An_Cour!$L:$Q,6,0)</f>
        <v>#N/A</v>
      </c>
      <c r="H36" s="187"/>
      <c r="K36" s="161" t="s">
        <v>38</v>
      </c>
    </row>
    <row r="37" spans="1:11" ht="15" customHeight="1">
      <c r="A37" s="162" t="s">
        <v>2188</v>
      </c>
      <c r="B37" s="158" t="s">
        <v>2187</v>
      </c>
      <c r="C37" s="159" t="s">
        <v>273</v>
      </c>
      <c r="D37" s="159">
        <v>0</v>
      </c>
      <c r="E37" s="493"/>
      <c r="F37" s="160"/>
      <c r="G37" s="187" t="e">
        <f>+VLOOKUP(Table_1[[#This Row],[Account]],BV_Data_An_Cour!$L:$Q,6,0)</f>
        <v>#N/A</v>
      </c>
      <c r="H37" s="187"/>
      <c r="K37" s="161" t="str">
        <f>Print_Mois!V429</f>
        <v>Déduction à la source</v>
      </c>
    </row>
    <row r="38" spans="1:11" ht="15" customHeight="1">
      <c r="A38" s="162" t="s">
        <v>2215</v>
      </c>
      <c r="B38" s="158" t="s">
        <v>2214</v>
      </c>
      <c r="C38" s="159" t="s">
        <v>273</v>
      </c>
      <c r="D38" s="159">
        <v>0</v>
      </c>
      <c r="E38" s="493"/>
      <c r="F38" s="160"/>
      <c r="G38" s="493"/>
      <c r="H38" s="187"/>
      <c r="K38" s="161" t="s">
        <v>22</v>
      </c>
    </row>
    <row r="39" spans="1:11" ht="15" customHeight="1">
      <c r="A39" s="157" t="s">
        <v>509</v>
      </c>
      <c r="B39" s="158" t="s">
        <v>1259</v>
      </c>
      <c r="C39" s="159" t="s">
        <v>273</v>
      </c>
      <c r="D39" s="159">
        <v>0</v>
      </c>
      <c r="E39" s="187"/>
      <c r="F39" s="2"/>
      <c r="G39" s="187" t="e">
        <f>+VLOOKUP(Table_1[[#This Row],[Account]],BV_Data_An_Cour!$L:$Q,6,0)</f>
        <v>#N/A</v>
      </c>
      <c r="H39" s="187"/>
      <c r="K39" s="161" t="s">
        <v>54</v>
      </c>
    </row>
    <row r="40" spans="1:11" ht="15" customHeight="1">
      <c r="A40" s="168" t="s">
        <v>510</v>
      </c>
      <c r="B40" s="169" t="s">
        <v>1260</v>
      </c>
      <c r="C40" s="159" t="s">
        <v>273</v>
      </c>
      <c r="D40" s="159">
        <v>0</v>
      </c>
      <c r="E40" s="187"/>
      <c r="F40" s="187"/>
      <c r="G40" s="187" t="e">
        <f>+VLOOKUP(Table_1[[#This Row],[Account]],BV_Data_An_Cour!$L:$Q,6,0)</f>
        <v>#N/A</v>
      </c>
      <c r="H40" s="187"/>
      <c r="K40" s="161" t="str">
        <f>Print_Mois!V446</f>
        <v>Divers</v>
      </c>
    </row>
    <row r="41" spans="1:11" ht="15" customHeight="1">
      <c r="A41" s="169" t="s">
        <v>511</v>
      </c>
      <c r="B41" s="169" t="s">
        <v>1261</v>
      </c>
      <c r="C41" s="159" t="s">
        <v>273</v>
      </c>
      <c r="D41" s="159">
        <v>0</v>
      </c>
      <c r="E41" s="187"/>
      <c r="F41" s="187"/>
      <c r="G41" s="187" t="e">
        <f>+VLOOKUP(Table_1[[#This Row],[Account]],BV_Data_An_Cour!$L:$Q,6,0)</f>
        <v>#N/A</v>
      </c>
      <c r="H41" s="187"/>
      <c r="K41" s="161" t="s">
        <v>70</v>
      </c>
    </row>
    <row r="42" spans="1:11" ht="15" customHeight="1">
      <c r="A42" s="168" t="s">
        <v>512</v>
      </c>
      <c r="B42" s="169" t="s">
        <v>1262</v>
      </c>
      <c r="C42" s="159" t="s">
        <v>273</v>
      </c>
      <c r="D42" s="159">
        <v>0</v>
      </c>
      <c r="E42" s="187"/>
      <c r="F42" s="2"/>
      <c r="G42" s="187" t="e">
        <f>+VLOOKUP(Table_1[[#This Row],[Account]],BV_Data_An_Cour!$L:$Q,6,0)</f>
        <v>#N/A</v>
      </c>
      <c r="H42" s="187"/>
      <c r="K42" s="161" t="s">
        <v>241</v>
      </c>
    </row>
    <row r="43" spans="1:11" ht="15" customHeight="1">
      <c r="A43" s="157" t="s">
        <v>513</v>
      </c>
      <c r="B43" s="158" t="s">
        <v>1263</v>
      </c>
      <c r="C43" s="159" t="s">
        <v>273</v>
      </c>
      <c r="D43" s="159">
        <v>0</v>
      </c>
      <c r="F43" s="187"/>
      <c r="G43" s="187" t="e">
        <f>+VLOOKUP(Table_1[[#This Row],[Account]],BV_Data_An_Cour!$L:$Q,6,0)</f>
        <v>#N/A</v>
      </c>
      <c r="H43" s="187"/>
      <c r="K43" s="161" t="s">
        <v>30</v>
      </c>
    </row>
    <row r="44" spans="1:11" ht="15" customHeight="1">
      <c r="A44" s="169" t="s">
        <v>514</v>
      </c>
      <c r="B44" s="169" t="s">
        <v>1264</v>
      </c>
      <c r="C44" s="159" t="s">
        <v>273</v>
      </c>
      <c r="D44" s="159">
        <v>0</v>
      </c>
      <c r="E44" s="187"/>
      <c r="F44" s="187"/>
      <c r="G44" s="187" t="e">
        <f>+VLOOKUP(Table_1[[#This Row],[Account]],BV_Data_An_Cour!$L:$Q,6,0)</f>
        <v>#N/A</v>
      </c>
      <c r="H44" s="187"/>
      <c r="K44" s="161" t="s">
        <v>32</v>
      </c>
    </row>
    <row r="45" spans="1:11" ht="15" customHeight="1">
      <c r="A45" s="168" t="s">
        <v>515</v>
      </c>
      <c r="B45" s="169" t="s">
        <v>1265</v>
      </c>
      <c r="C45" s="159" t="s">
        <v>273</v>
      </c>
      <c r="D45" s="159">
        <v>0</v>
      </c>
      <c r="E45" s="187"/>
      <c r="F45" s="2"/>
      <c r="G45" s="187" t="e">
        <f>+VLOOKUP(Table_1[[#This Row],[Account]],BV_Data_An_Cour!$L:$Q,6,0)</f>
        <v>#N/A</v>
      </c>
      <c r="H45" s="187"/>
      <c r="K45" s="161" t="s">
        <v>8</v>
      </c>
    </row>
    <row r="46" spans="1:11" ht="15" customHeight="1">
      <c r="A46" s="168" t="s">
        <v>516</v>
      </c>
      <c r="B46" s="169" t="s">
        <v>1266</v>
      </c>
      <c r="C46" s="159" t="s">
        <v>273</v>
      </c>
      <c r="D46" s="159">
        <v>0</v>
      </c>
      <c r="F46" s="187"/>
      <c r="G46" s="187" t="e">
        <f>+VLOOKUP(Table_1[[#This Row],[Account]],BV_Data_An_Cour!$L:$Q,6,0)</f>
        <v>#N/A</v>
      </c>
      <c r="H46" s="187"/>
      <c r="K46" s="161" t="s">
        <v>62</v>
      </c>
    </row>
    <row r="47" spans="1:11" ht="15" customHeight="1">
      <c r="A47" s="476" t="s">
        <v>517</v>
      </c>
      <c r="B47" s="483" t="s">
        <v>1267</v>
      </c>
      <c r="C47" s="159" t="s">
        <v>273</v>
      </c>
      <c r="D47" s="159">
        <v>0</v>
      </c>
      <c r="E47" s="187"/>
      <c r="F47" s="187"/>
      <c r="G47" s="187" t="e">
        <f>+VLOOKUP(Table_1[[#This Row],[Account]],BV_Data_An_Cour!$L:$Q,6,0)</f>
        <v>#N/A</v>
      </c>
      <c r="H47" s="187"/>
      <c r="K47" s="161" t="str">
        <f>Print_Mois!C35</f>
        <v>Entretien stock</v>
      </c>
    </row>
    <row r="48" spans="1:11" ht="15" customHeight="1">
      <c r="A48" s="474" t="s">
        <v>518</v>
      </c>
      <c r="B48" s="482" t="s">
        <v>1268</v>
      </c>
      <c r="C48" s="159" t="s">
        <v>273</v>
      </c>
      <c r="D48" s="159">
        <v>0</v>
      </c>
      <c r="E48" s="187"/>
      <c r="F48" s="187"/>
      <c r="G48" s="187" t="e">
        <f>+VLOOKUP(Table_1[[#This Row],[Account]],BV_Data_An_Cour!$L:$Q,6,0)</f>
        <v>#N/A</v>
      </c>
      <c r="H48" s="187"/>
      <c r="K48" s="161" t="s">
        <v>59</v>
      </c>
    </row>
    <row r="49" spans="1:11" ht="15" customHeight="1">
      <c r="A49" s="168" t="s">
        <v>519</v>
      </c>
      <c r="B49" s="169" t="s">
        <v>1269</v>
      </c>
      <c r="C49" s="159" t="s">
        <v>273</v>
      </c>
      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 r="K49" s="161" t="s">
        <v>57</v>
      </c>
    </row>
    <row r="50" spans="1:11" ht="15" customHeight="1">
      <c r="A50" s="157" t="s">
        <v>520</v>
      </c>
      <c r="B50" s="158" t="s">
        <v>1270</v>
      </c>
      <c r="C50" s="159" t="s">
        <v>273</v>
      </c>
      <c r="D50" s="159">
        <v>0</v>
      </c>
      <c r="F50" s="187"/>
      <c r="G50" s="187" t="e">
        <f>+VLOOKUP(Table_1[[#This Row],[Account]],BV_Data_An_Cour!$L:$Q,6,0)</f>
        <v>#N/A</v>
      </c>
      <c r="H50" s="187"/>
      <c r="K50" s="161" t="s">
        <v>60</v>
      </c>
    </row>
    <row r="51" spans="1:11" ht="15" customHeight="1">
      <c r="A51" s="157" t="s">
        <v>521</v>
      </c>
      <c r="B51" s="158" t="s">
        <v>1271</v>
      </c>
      <c r="C51" s="159" t="s">
        <v>273</v>
      </c>
      <c r="D51" s="159">
        <v>0</v>
      </c>
      <c r="E51" s="187"/>
      <c r="F51" s="187"/>
      <c r="G51" s="187" t="e">
        <f>+VLOOKUP(Table_1[[#This Row],[Account]],BV_Data_An_Cour!$L:$Q,6,0)</f>
        <v>#N/A</v>
      </c>
      <c r="H51" s="187"/>
      <c r="K51" s="161" t="str">
        <f>Print_Mois!C302</f>
        <v>Escomptes</v>
      </c>
    </row>
    <row r="52" spans="1:11" ht="15" customHeight="1">
      <c r="A52" s="157" t="s">
        <v>522</v>
      </c>
      <c r="B52" s="158" t="s">
        <v>1272</v>
      </c>
      <c r="C52" s="159" t="s">
        <v>273</v>
      </c>
      <c r="D52" s="159">
        <v>0</v>
      </c>
      <c r="E52" s="187"/>
      <c r="F52" s="2"/>
      <c r="G52" s="187" t="e">
        <f>+VLOOKUP(Table_1[[#This Row],[Account]],BV_Data_An_Cour!$L:$Q,6,0)</f>
        <v>#N/A</v>
      </c>
      <c r="H52" s="187"/>
      <c r="K52" s="161" t="str">
        <f>Print_Mois!C15</f>
        <v>Ex-Démos et courtoisies</v>
      </c>
    </row>
    <row r="53" spans="1:11" ht="15" customHeight="1">
      <c r="A53" s="157" t="s">
        <v>523</v>
      </c>
      <c r="B53" s="158" t="s">
        <v>1273</v>
      </c>
      <c r="C53" s="159" t="s">
        <v>273</v>
      </c>
      <c r="D53" s="159">
        <v>0</v>
      </c>
      <c r="F53" s="187"/>
      <c r="G53" s="187" t="e">
        <f>+VLOOKUP(Table_1[[#This Row],[Account]],BV_Data_An_Cour!$L:$Q,6,0)</f>
        <v>#N/A</v>
      </c>
      <c r="H53" s="187"/>
      <c r="K53" s="161" t="str">
        <f>Print_Mois!C17</f>
        <v>Flottes</v>
      </c>
    </row>
    <row r="54" spans="1:11" ht="15" customHeight="1">
      <c r="A54" s="476" t="s">
        <v>524</v>
      </c>
      <c r="B54" s="483" t="s">
        <v>1274</v>
      </c>
      <c r="C54" s="159" t="s">
        <v>273</v>
      </c>
      <c r="D54" s="159">
        <v>0</v>
      </c>
      <c r="E54" s="187"/>
      <c r="F54" s="2"/>
      <c r="G54" s="187" t="e">
        <f>+VLOOKUP(Table_1[[#This Row],[Account]],BV_Data_An_Cour!$L:$Q,6,0)</f>
        <v>#N/A</v>
      </c>
      <c r="H54" s="187"/>
      <c r="K54" s="161" t="s">
        <v>277</v>
      </c>
    </row>
    <row r="55" spans="1:11" ht="15" customHeight="1">
      <c r="A55" s="168" t="s">
        <v>525</v>
      </c>
      <c r="B55" s="169" t="s">
        <v>1275</v>
      </c>
      <c r="C55" s="159" t="s">
        <v>273</v>
      </c>
      <c r="D55" s="159">
        <v>0</v>
      </c>
      <c r="F55" s="187"/>
      <c r="G55" s="187" t="e">
        <f>+VLOOKUP(Table_1[[#This Row],[Account]],BV_Data_An_Cour!$L:$Q,6,0)</f>
        <v>#N/A</v>
      </c>
      <c r="H55" s="187"/>
      <c r="K55" s="161" t="str">
        <f>Print_Mois!V447</f>
        <v>Formation</v>
      </c>
    </row>
    <row r="56" spans="1:11" ht="15" customHeight="1">
      <c r="A56" s="158" t="s">
        <v>526</v>
      </c>
      <c r="B56" s="158" t="s">
        <v>1276</v>
      </c>
      <c r="C56" s="159" t="s">
        <v>273</v>
      </c>
      <c r="D56" s="159">
        <v>0</v>
      </c>
      <c r="E56" s="187"/>
      <c r="F56" s="2"/>
      <c r="G56" s="187" t="e">
        <f>+VLOOKUP(Table_1[[#This Row],[Account]],BV_Data_An_Cour!$L:$Q,6,0)</f>
        <v>#N/A</v>
      </c>
      <c r="H56" s="187"/>
      <c r="K56" s="161" t="str">
        <f>Print_Mois!V441</f>
        <v>Fournitures autres</v>
      </c>
    </row>
    <row r="57" spans="1:11" ht="15" customHeight="1">
      <c r="A57" s="157" t="s">
        <v>527</v>
      </c>
      <c r="B57" s="158" t="s">
        <v>1277</v>
      </c>
      <c r="C57" s="159" t="s">
        <v>273</v>
      </c>
      <c r="D57" s="159">
        <v>0</v>
      </c>
      <c r="F57" s="187"/>
      <c r="G57" s="187" t="e">
        <f>+VLOOKUP(Table_1[[#This Row],[Account]],BV_Data_An_Cour!$L:$Q,6,0)</f>
        <v>#N/A</v>
      </c>
      <c r="H57" s="187"/>
      <c r="K57" s="161" t="str">
        <f>Print_Mois!V480</f>
        <v>Frais administration</v>
      </c>
    </row>
    <row r="58" spans="1:11" ht="15" customHeight="1">
      <c r="A58" s="157" t="s">
        <v>528</v>
      </c>
      <c r="B58" s="158" t="s">
        <v>1278</v>
      </c>
      <c r="C58" s="159" t="s">
        <v>273</v>
      </c>
      <c r="D58" s="159">
        <v>0</v>
      </c>
      <c r="E58" s="187"/>
      <c r="F58" s="2"/>
      <c r="G58" s="187" t="e">
        <f>+VLOOKUP(Table_1[[#This Row],[Account]],BV_Data_An_Cour!$L:$Q,6,0)</f>
        <v>#N/A</v>
      </c>
      <c r="H58" s="187"/>
      <c r="K58" s="161" t="s">
        <v>131</v>
      </c>
    </row>
    <row r="59" spans="1:11" ht="15" customHeight="1">
      <c r="A59" s="476" t="s">
        <v>529</v>
      </c>
      <c r="B59" s="483" t="s">
        <v>1279</v>
      </c>
      <c r="C59" s="159" t="s">
        <v>273</v>
      </c>
      <c r="D59" s="159">
        <v>0</v>
      </c>
      <c r="E59" s="187"/>
      <c r="F59" s="2"/>
      <c r="G59" s="187" t="e">
        <f>+VLOOKUP(Table_1[[#This Row],[Account]],BV_Data_An_Cour!$L:$Q,6,0)</f>
        <v>#N/A</v>
      </c>
      <c r="H59" s="187"/>
      <c r="K59" s="161" t="str">
        <f>Print_Mois!V451</f>
        <v>[...]</v>
      </c>
    </row>
    <row r="60" spans="1:11" ht="15" customHeight="1">
      <c r="A60" s="162" t="s">
        <v>530</v>
      </c>
      <c r="B60" s="158" t="s">
        <v>1280</v>
      </c>
      <c r="C60" s="159" t="s">
        <v>273</v>
      </c>
      <c r="D60" s="159">
        <v>0</v>
      </c>
      <c r="F60" s="187"/>
      <c r="G60" s="187" t="e">
        <f>+VLOOKUP(Table_1[[#This Row],[Account]],BV_Data_An_Cour!$L:$Q,6,0)</f>
        <v>#N/A</v>
      </c>
      <c r="H60" s="187"/>
      <c r="K60" s="161" t="str">
        <f>Print_Mois!V438</f>
        <v>Frais de déplacement</v>
      </c>
    </row>
    <row r="61" spans="1:11" ht="15" customHeight="1">
      <c r="A61" s="476" t="s">
        <v>531</v>
      </c>
      <c r="B61" s="483" t="s">
        <v>1281</v>
      </c>
      <c r="C61" s="159" t="s">
        <v>273</v>
      </c>
      <c r="D61" s="159">
        <v>0</v>
      </c>
      <c r="E61" s="187"/>
      <c r="F61" s="187"/>
      <c r="G61" s="187" t="e">
        <f>+VLOOKUP(Table_1[[#This Row],[Account]],BV_Data_An_Cour!$L:$Q,6,0)</f>
        <v>#N/A</v>
      </c>
      <c r="H61" s="187"/>
      <c r="K61" s="161" t="str">
        <f>Print_Mois!C33</f>
        <v>Frais de livraison</v>
      </c>
    </row>
    <row r="62" spans="1:11" ht="15" customHeight="1">
      <c r="A62" s="476" t="s">
        <v>532</v>
      </c>
      <c r="B62" s="483" t="s">
        <v>1282</v>
      </c>
      <c r="C62" s="159" t="s">
        <v>273</v>
      </c>
      <c r="D62" s="159">
        <v>0</v>
      </c>
      <c r="E62" s="187"/>
      <c r="F62" s="2"/>
      <c r="G62" s="187" t="e">
        <f>+VLOOKUP(Table_1[[#This Row],[Account]],BV_Data_An_Cour!$L:$Q,6,0)</f>
        <v>#N/A</v>
      </c>
      <c r="H62" s="187"/>
      <c r="K62" s="161" t="s">
        <v>278</v>
      </c>
    </row>
    <row r="63" spans="1:11" ht="15" customHeight="1">
      <c r="A63" s="157" t="s">
        <v>533</v>
      </c>
      <c r="B63" s="158" t="s">
        <v>1283</v>
      </c>
      <c r="C63" s="159" t="s">
        <v>273</v>
      </c>
      <c r="D63" s="159">
        <v>0</v>
      </c>
      <c r="F63" s="187"/>
      <c r="G63" s="187" t="e">
        <f>+VLOOKUP(Table_1[[#This Row],[Account]],BV_Data_An_Cour!$L:$Q,6,0)</f>
        <v>#N/A</v>
      </c>
      <c r="H63" s="187"/>
      <c r="K63" s="161" t="s">
        <v>43</v>
      </c>
    </row>
    <row r="64" spans="1:11" ht="15" customHeight="1">
      <c r="A64" s="168" t="s">
        <v>534</v>
      </c>
      <c r="B64" s="169" t="s">
        <v>1284</v>
      </c>
      <c r="C64" s="159" t="s">
        <v>273</v>
      </c>
      <c r="D64" s="159">
        <v>0</v>
      </c>
      <c r="E64" s="187"/>
      <c r="F64" s="2"/>
      <c r="G64" s="187" t="e">
        <f>+VLOOKUP(Table_1[[#This Row],[Account]],BV_Data_An_Cour!$L:$Q,6,0)</f>
        <v>#N/A</v>
      </c>
      <c r="H64" s="187"/>
      <c r="K64" s="161" t="str">
        <f>Print_Mois!V445</f>
        <v>Frais postaux</v>
      </c>
    </row>
    <row r="65" spans="1:11" ht="15" customHeight="1">
      <c r="A65" s="157" t="s">
        <v>535</v>
      </c>
      <c r="B65" s="158" t="s">
        <v>1285</v>
      </c>
      <c r="C65" s="159" t="s">
        <v>273</v>
      </c>
      <c r="D65" s="159">
        <v>0</v>
      </c>
      <c r="F65" s="187"/>
      <c r="G65" s="187" t="e">
        <f>+VLOOKUP(Table_1[[#This Row],[Account]],BV_Data_An_Cour!$L:$Q,6,0)</f>
        <v>#N/A</v>
      </c>
      <c r="H65" s="187"/>
      <c r="K65" s="161" t="s">
        <v>279</v>
      </c>
    </row>
    <row r="66" spans="1:11" ht="15" customHeight="1">
      <c r="A66" s="169" t="s">
        <v>536</v>
      </c>
      <c r="B66" s="169" t="s">
        <v>1286</v>
      </c>
      <c r="C66" s="159" t="s">
        <v>273</v>
      </c>
      <c r="D66" s="159">
        <v>0</v>
      </c>
      <c r="E66" s="187"/>
      <c r="F66" s="187"/>
      <c r="G66" s="187" t="e">
        <f>+VLOOKUP(Table_1[[#This Row],[Account]],BV_Data_An_Cour!$L:$Q,6,0)</f>
        <v>#N/A</v>
      </c>
      <c r="H66" s="187"/>
      <c r="K66" s="161" t="str">
        <f>Print_Mois!V436</f>
        <v>Frais véhicules de cie</v>
      </c>
    </row>
    <row r="67" spans="1:11" ht="15" customHeight="1">
      <c r="A67" s="476" t="s">
        <v>537</v>
      </c>
      <c r="B67" s="483" t="s">
        <v>1287</v>
      </c>
      <c r="C67" s="159" t="s">
        <v>273</v>
      </c>
      <c r="D67" s="159">
        <v>0</v>
      </c>
      <c r="E67" s="187"/>
      <c r="F67" s="2"/>
      <c r="G67" s="187" t="e">
        <f>+VLOOKUP(Table_1[[#This Row],[Account]],BV_Data_An_Cour!$L:$Q,6,0)</f>
        <v>#N/A</v>
      </c>
      <c r="H67" s="187"/>
      <c r="K67" s="161" t="s">
        <v>280</v>
      </c>
    </row>
    <row r="68" spans="1:11" ht="15" customHeight="1">
      <c r="A68" s="157" t="s">
        <v>538</v>
      </c>
      <c r="B68" s="158" t="s">
        <v>1288</v>
      </c>
      <c r="C68" s="159" t="s">
        <v>273</v>
      </c>
      <c r="D68" s="159">
        <v>0</v>
      </c>
      <c r="F68" s="187"/>
      <c r="G68" s="187" t="e">
        <f>+VLOOKUP(Table_1[[#This Row],[Account]],BV_Data_An_Cour!$L:$Q,6,0)</f>
        <v>#N/A</v>
      </c>
      <c r="H68" s="187"/>
      <c r="K68" s="161" t="str">
        <f>Print_Mois!V470</f>
        <v>Holdbacks</v>
      </c>
    </row>
    <row r="69" spans="1:11" ht="15" customHeight="1">
      <c r="A69" s="168" t="s">
        <v>539</v>
      </c>
      <c r="B69" s="169" t="s">
        <v>1289</v>
      </c>
      <c r="C69" s="159" t="s">
        <v>273</v>
      </c>
      <c r="D69" s="159">
        <v>0</v>
      </c>
      <c r="E69" s="187"/>
      <c r="F69" s="187"/>
      <c r="G69" s="187" t="e">
        <f>+VLOOKUP(Table_1[[#This Row],[Account]],BV_Data_An_Cour!$L:$Q,6,0)</f>
        <v>#N/A</v>
      </c>
      <c r="H69" s="187"/>
      <c r="K69" s="161" t="str">
        <f>Print_Mois!V459</f>
        <v>Honoraires</v>
      </c>
    </row>
    <row r="70" spans="1:11" ht="15" customHeight="1">
      <c r="A70" s="474" t="s">
        <v>932</v>
      </c>
      <c r="B70" s="482" t="s">
        <v>1778</v>
      </c>
      <c r="C70" s="159" t="s">
        <v>75</v>
      </c>
      <c r="D70" s="159" t="s">
        <v>101</v>
      </c>
      <c r="E70" s="187" t="s">
        <v>285</v>
      </c>
      <c r="F70" s="2"/>
      <c r="G70" s="187" t="str">
        <f>+VLOOKUP(Table_1[[#This Row],[Account]],BV_Data_An_Cour!$L:$Q,6,0)</f>
        <v>7-Dépenses</v>
      </c>
      <c r="H70" s="187"/>
      <c r="K70" s="161" t="str">
        <f>Print_Mois!C308</f>
        <v>Huiles et Graisse</v>
      </c>
    </row>
    <row r="71" spans="1:11" ht="15" customHeight="1">
      <c r="A71" s="162" t="s">
        <v>943</v>
      </c>
      <c r="B71" s="163" t="s">
        <v>1753</v>
      </c>
      <c r="C71" s="159" t="s">
        <v>140</v>
      </c>
      <c r="D71" s="159" t="s">
        <v>101</v>
      </c>
      <c r="E71" s="187" t="s">
        <v>285</v>
      </c>
      <c r="F71" s="2"/>
      <c r="G71" s="187" t="str">
        <f>+VLOOKUP(Table_1[[#This Row],[Account]],BV_Data_An_Cour!$L:$Q,6,0)</f>
        <v>7-Dépenses</v>
      </c>
      <c r="H71" s="187"/>
      <c r="K71" s="161" t="s">
        <v>52</v>
      </c>
    </row>
    <row r="72" spans="1:11" ht="15" customHeight="1">
      <c r="A72" s="168" t="s">
        <v>540</v>
      </c>
      <c r="B72" s="169" t="s">
        <v>1290</v>
      </c>
      <c r="C72" s="159" t="s">
        <v>273</v>
      </c>
      <c r="D72" s="159">
        <v>0</v>
      </c>
      <c r="E72" s="187"/>
      <c r="F72" s="2"/>
      <c r="G72" s="187" t="e">
        <f>+VLOOKUP(Table_1[[#This Row],[Account]],BV_Data_An_Cour!$L:$Q,6,0)</f>
        <v>#N/A</v>
      </c>
      <c r="H72" s="187"/>
      <c r="K72" s="161" t="s">
        <v>20</v>
      </c>
    </row>
    <row r="73" spans="1:11" ht="15" customHeight="1">
      <c r="A73" s="476" t="s">
        <v>541</v>
      </c>
      <c r="B73" s="483" t="s">
        <v>1291</v>
      </c>
      <c r="C73" s="159" t="s">
        <v>273</v>
      </c>
      <c r="D73" s="159">
        <v>0</v>
      </c>
      <c r="F73" s="187"/>
      <c r="G73" s="187" t="e">
        <f>+VLOOKUP(Table_1[[#This Row],[Account]],BV_Data_An_Cour!$L:$Q,6,0)</f>
        <v>#N/A</v>
      </c>
      <c r="H73" s="187"/>
      <c r="K73" s="161" t="s">
        <v>48</v>
      </c>
    </row>
    <row r="74" spans="1:11" ht="15" customHeight="1">
      <c r="A74" s="157" t="s">
        <v>542</v>
      </c>
      <c r="B74" s="158" t="s">
        <v>1292</v>
      </c>
      <c r="C74" s="159" t="s">
        <v>273</v>
      </c>
      <c r="D74" s="159">
        <v>0</v>
      </c>
      <c r="E74" s="187"/>
      <c r="F74" s="187"/>
      <c r="G74" s="187" t="e">
        <f>+VLOOKUP(Table_1[[#This Row],[Account]],BV_Data_An_Cour!$L:$Q,6,0)</f>
        <v>#N/A</v>
      </c>
      <c r="H74" s="187"/>
      <c r="K74" s="161" t="str">
        <f>Print_Mois!V437</f>
        <v>Informatique</v>
      </c>
    </row>
    <row r="75" spans="1:11" ht="15" customHeight="1">
      <c r="A75" s="157" t="s">
        <v>543</v>
      </c>
      <c r="B75" s="158" t="s">
        <v>1293</v>
      </c>
      <c r="C75" s="159" t="s">
        <v>273</v>
      </c>
      <c r="D75" s="159">
        <v>0</v>
      </c>
      <c r="E75" s="187"/>
      <c r="F75" s="2"/>
      <c r="G75" s="187" t="e">
        <f>+VLOOKUP(Table_1[[#This Row],[Account]],BV_Data_An_Cour!$L:$Q,6,0)</f>
        <v>#N/A</v>
      </c>
      <c r="H75" s="187"/>
      <c r="K75" s="161" t="s">
        <v>106</v>
      </c>
    </row>
    <row r="76" spans="1:11" ht="15" customHeight="1">
      <c r="A76" s="157" t="s">
        <v>544</v>
      </c>
      <c r="B76" s="158" t="s">
        <v>1294</v>
      </c>
      <c r="C76" s="159" t="s">
        <v>273</v>
      </c>
      <c r="D76" s="159">
        <v>0</v>
      </c>
      <c r="F76" s="187"/>
      <c r="G76" s="187" t="e">
        <f>+VLOOKUP(Table_1[[#This Row],[Account]],BV_Data_An_Cour!$L:$Q,6,0)</f>
        <v>#N/A</v>
      </c>
      <c r="H76" s="187"/>
      <c r="K76" s="161" t="str">
        <f>Print_Mois!V497</f>
        <v>[...]</v>
      </c>
    </row>
    <row r="77" spans="1:11" ht="15" customHeight="1">
      <c r="A77" s="476" t="s">
        <v>545</v>
      </c>
      <c r="B77" s="483" t="s">
        <v>1295</v>
      </c>
      <c r="C77" s="159" t="s">
        <v>273</v>
      </c>
      <c r="D77" s="159">
        <v>0</v>
      </c>
      <c r="E77" s="187"/>
      <c r="F77" s="187"/>
      <c r="G77" s="187" t="e">
        <f>+VLOOKUP(Table_1[[#This Row],[Account]],BV_Data_An_Cour!$L:$Q,6,0)</f>
        <v>#N/A</v>
      </c>
      <c r="H77" s="187"/>
      <c r="K77" s="161" t="str">
        <f>Print_Mois!V492</f>
        <v>Intérêts sur marge</v>
      </c>
    </row>
    <row r="78" spans="1:11" ht="15" customHeight="1">
      <c r="A78" s="168" t="s">
        <v>546</v>
      </c>
      <c r="B78" s="169" t="s">
        <v>1296</v>
      </c>
      <c r="C78" s="159" t="s">
        <v>273</v>
      </c>
      <c r="D78" s="159">
        <v>0</v>
      </c>
      <c r="E78" s="187"/>
      <c r="F78" s="2"/>
      <c r="G78" s="187" t="e">
        <f>+VLOOKUP(Table_1[[#This Row],[Account]],BV_Data_An_Cour!$L:$Q,6,0)</f>
        <v>#N/A</v>
      </c>
      <c r="H78" s="187"/>
      <c r="K78" s="161" t="str">
        <f>Print_Mois!V493</f>
        <v>Intérêts sur prêt</v>
      </c>
    </row>
    <row r="79" spans="1:11" ht="15" customHeight="1">
      <c r="A79" s="168" t="s">
        <v>547</v>
      </c>
      <c r="B79" s="169" t="s">
        <v>1297</v>
      </c>
      <c r="C79" s="159" t="s">
        <v>273</v>
      </c>
      <c r="D79" s="159">
        <v>0</v>
      </c>
      <c r="F79" s="187"/>
      <c r="G79" s="187" t="e">
        <f>+VLOOKUP(Table_1[[#This Row],[Account]],BV_Data_An_Cour!$L:$Q,6,0)</f>
        <v>#N/A</v>
      </c>
      <c r="H79" s="187"/>
      <c r="K79" s="161" t="s">
        <v>33</v>
      </c>
    </row>
    <row r="80" spans="1:11" ht="15" customHeight="1">
      <c r="A80" s="476" t="s">
        <v>548</v>
      </c>
      <c r="B80" s="483" t="s">
        <v>1298</v>
      </c>
      <c r="C80" s="159" t="s">
        <v>273</v>
      </c>
      <c r="D80" s="159">
        <v>0</v>
      </c>
      <c r="E80" s="187"/>
      <c r="F80" s="2"/>
      <c r="G80" s="187" t="e">
        <f>+VLOOKUP(Table_1[[#This Row],[Account]],BV_Data_An_Cour!$L:$Q,6,0)</f>
        <v>#N/A</v>
      </c>
      <c r="H80" s="187"/>
      <c r="K80" s="161" t="s">
        <v>29</v>
      </c>
    </row>
    <row r="81" spans="1:11" ht="15" customHeight="1">
      <c r="A81" s="157" t="s">
        <v>549</v>
      </c>
      <c r="B81" s="158" t="s">
        <v>1299</v>
      </c>
      <c r="C81" s="159" t="s">
        <v>273</v>
      </c>
      <c r="D81" s="159">
        <v>0</v>
      </c>
      <c r="F81" s="187"/>
      <c r="G81" s="187" t="e">
        <f>+VLOOKUP(Table_1[[#This Row],[Account]],BV_Data_An_Cour!$L:$Q,6,0)</f>
        <v>#N/A</v>
      </c>
      <c r="H81" s="187"/>
      <c r="K81" s="161" t="s">
        <v>31</v>
      </c>
    </row>
    <row r="82" spans="1:11" ht="15" customHeight="1">
      <c r="A82" s="162" t="s">
        <v>2893</v>
      </c>
      <c r="B82" s="158" t="s">
        <v>2892</v>
      </c>
      <c r="C82" s="159"/>
      <c r="D82" s="159"/>
      <c r="E82" s="493"/>
      <c r="F82" s="160"/>
      <c r="G82" s="493"/>
      <c r="H82" s="187"/>
      <c r="K82" s="161" t="str">
        <f>Print_Mois!V461</f>
        <v>Location équipement</v>
      </c>
    </row>
    <row r="83" spans="1:11" ht="15" customHeight="1">
      <c r="A83" s="157" t="s">
        <v>550</v>
      </c>
      <c r="B83" s="158" t="s">
        <v>1300</v>
      </c>
      <c r="C83" s="159" t="s">
        <v>273</v>
      </c>
      <c r="D83" s="159">
        <v>0</v>
      </c>
      <c r="E83" s="187"/>
      <c r="F83" s="2"/>
      <c r="G83" s="187" t="e">
        <f>+VLOOKUP(Table_1[[#This Row],[Account]],BV_Data_An_Cour!$L:$Q,6,0)</f>
        <v>#N/A</v>
      </c>
      <c r="H83" s="187"/>
      <c r="K83" s="161" t="str">
        <f>Print_Mois!V453</f>
        <v>Loyer</v>
      </c>
    </row>
    <row r="84" spans="1:11" ht="15" customHeight="1">
      <c r="A84" s="168" t="s">
        <v>551</v>
      </c>
      <c r="B84" s="169" t="s">
        <v>1301</v>
      </c>
      <c r="C84" s="159" t="s">
        <v>273</v>
      </c>
      <c r="D84" s="159">
        <v>0</v>
      </c>
      <c r="F84" s="187"/>
      <c r="G84" s="187" t="e">
        <f>+VLOOKUP(Table_1[[#This Row],[Account]],BV_Data_An_Cour!$L:$Q,6,0)</f>
        <v>#N/A</v>
      </c>
      <c r="H84" s="187"/>
      <c r="K84" s="161" t="str">
        <f>Print_Mois!C244</f>
        <v>M/O Carrosserie</v>
      </c>
    </row>
    <row r="85" spans="1:11" ht="15" customHeight="1">
      <c r="A85" s="168" t="s">
        <v>552</v>
      </c>
      <c r="B85" s="169" t="s">
        <v>1302</v>
      </c>
      <c r="C85" s="159" t="s">
        <v>273</v>
      </c>
      <c r="D85" s="159">
        <v>0</v>
      </c>
      <c r="E85" s="187"/>
      <c r="F85" s="2"/>
      <c r="G85" s="187" t="e">
        <f>+VLOOKUP(Table_1[[#This Row],[Account]],BV_Data_An_Cour!$L:$Q,6,0)</f>
        <v>#N/A</v>
      </c>
      <c r="H85" s="187"/>
      <c r="K85" s="161" t="str">
        <f>Print_Mois!C172</f>
        <v>M/O Client</v>
      </c>
    </row>
    <row r="86" spans="1:11" ht="15" customHeight="1">
      <c r="A86" s="157" t="s">
        <v>1304</v>
      </c>
      <c r="B86" s="158" t="s">
        <v>1303</v>
      </c>
      <c r="C86" s="159" t="s">
        <v>273</v>
      </c>
      <c r="D86" s="159">
        <v>0</v>
      </c>
      <c r="F86" s="187"/>
      <c r="G86" s="187" t="e">
        <f>+VLOOKUP(Table_1[[#This Row],[Account]],BV_Data_An_Cour!$L:$Q,6,0)</f>
        <v>#N/A</v>
      </c>
      <c r="H86" s="187"/>
      <c r="K86" s="161" t="str">
        <f>Print_Mois!C181</f>
        <v>M/O Esthétique</v>
      </c>
    </row>
    <row r="87" spans="1:11" ht="15" customHeight="1">
      <c r="A87" s="474" t="s">
        <v>875</v>
      </c>
      <c r="B87" s="482" t="s">
        <v>1741</v>
      </c>
      <c r="C87" s="159" t="s">
        <v>75</v>
      </c>
      <c r="D87" s="159" t="s">
        <v>102</v>
      </c>
      <c r="E87" s="187" t="s">
        <v>285</v>
      </c>
      <c r="F87" s="2"/>
      <c r="G87" s="187" t="str">
        <f>+VLOOKUP(Table_1[[#This Row],[Account]],BV_Data_An_Cour!$L:$Q,6,0)</f>
        <v>7-Dépenses</v>
      </c>
      <c r="H87" s="187"/>
      <c r="K87" s="161" t="str">
        <f>+Print_Mois!C247</f>
        <v>M/O Esthétique Carr.</v>
      </c>
    </row>
    <row r="88" spans="1:11" ht="15" customHeight="1">
      <c r="A88" s="162" t="s">
        <v>857</v>
      </c>
      <c r="B88" s="163" t="s">
        <v>1673</v>
      </c>
      <c r="C88" s="159" t="s">
        <v>140</v>
      </c>
      <c r="D88" s="159" t="s">
        <v>102</v>
      </c>
      <c r="E88" s="187" t="s">
        <v>285</v>
      </c>
      <c r="F88" s="2"/>
      <c r="G88" s="187" t="str">
        <f>+VLOOKUP(Table_1[[#This Row],[Account]],BV_Data_An_Cour!$L:$Q,6,0)</f>
        <v>7-Dépenses</v>
      </c>
      <c r="H88" s="187"/>
      <c r="K88" s="161" t="str">
        <f>Print_Mois!C175</f>
        <v>M/O Garantie</v>
      </c>
    </row>
    <row r="89" spans="1:11" ht="15" customHeight="1">
      <c r="A89" s="157" t="s">
        <v>553</v>
      </c>
      <c r="B89" s="158" t="s">
        <v>1305</v>
      </c>
      <c r="C89" s="159" t="s">
        <v>273</v>
      </c>
      <c r="D89" s="159">
        <v>0</v>
      </c>
      <c r="E89" s="187"/>
      <c r="F89" s="187"/>
      <c r="G89" s="187" t="e">
        <f>+VLOOKUP(Table_1[[#This Row],[Account]],BV_Data_An_Cour!$L:$Q,6,0)</f>
        <v>#N/A</v>
      </c>
      <c r="H89" s="187"/>
      <c r="K89" s="161" t="str">
        <f>Print_Mois!C178</f>
        <v>M/O Interne</v>
      </c>
    </row>
    <row r="90" spans="1:11" ht="15" customHeight="1">
      <c r="A90" s="476" t="s">
        <v>554</v>
      </c>
      <c r="B90" s="483" t="s">
        <v>1306</v>
      </c>
      <c r="C90" s="159" t="s">
        <v>273</v>
      </c>
      <c r="D90" s="159">
        <v>0</v>
      </c>
      <c r="E90" s="187"/>
      <c r="F90" s="187"/>
      <c r="G90" s="187" t="e">
        <f>+VLOOKUP(Table_1[[#This Row],[Account]],BV_Data_An_Cour!$L:$Q,6,0)</f>
        <v>#N/A</v>
      </c>
      <c r="H90" s="187"/>
      <c r="K90" s="161" t="s">
        <v>164</v>
      </c>
    </row>
    <row r="91" spans="1:11" ht="15" customHeight="1">
      <c r="A91" s="157" t="s">
        <v>555</v>
      </c>
      <c r="B91" s="158" t="s">
        <v>1307</v>
      </c>
      <c r="C91" s="159" t="s">
        <v>273</v>
      </c>
      <c r="D91" s="159">
        <v>0</v>
      </c>
      <c r="E91" s="187"/>
      <c r="F91" s="187"/>
      <c r="G91" s="187" t="e">
        <f>+VLOOKUP(Table_1[[#This Row],[Account]],BV_Data_An_Cour!$L:$Q,6,0)</f>
        <v>#N/A</v>
      </c>
      <c r="H91" s="187"/>
      <c r="K91" s="161" t="s">
        <v>9</v>
      </c>
    </row>
    <row r="92" spans="1:11" ht="15" customHeight="1">
      <c r="A92" s="162" t="s">
        <v>556</v>
      </c>
      <c r="B92" s="163" t="s">
        <v>1308</v>
      </c>
      <c r="C92" s="159" t="s">
        <v>273</v>
      </c>
      <c r="D92" s="159">
        <v>0</v>
      </c>
      <c r="E92" s="187"/>
      <c r="F92" s="187"/>
      <c r="G92" s="187" t="e">
        <f>+VLOOKUP(Table_1[[#This Row],[Account]],BV_Data_An_Cour!$L:$Q,6,0)</f>
        <v>#N/A</v>
      </c>
      <c r="H92" s="187"/>
      <c r="K92" s="161" t="s">
        <v>281</v>
      </c>
    </row>
    <row r="93" spans="1:11" ht="15" customHeight="1">
      <c r="A93" s="157" t="s">
        <v>557</v>
      </c>
      <c r="B93" s="158" t="s">
        <v>1309</v>
      </c>
      <c r="C93" s="159" t="s">
        <v>273</v>
      </c>
      <c r="D93" s="159">
        <v>0</v>
      </c>
      <c r="E93" s="187"/>
      <c r="F93" s="187"/>
      <c r="G93" s="187" t="e">
        <f>+VLOOKUP(Table_1[[#This Row],[Account]],BV_Data_An_Cour!$L:$Q,6,0)</f>
        <v>#N/A</v>
      </c>
      <c r="H93" s="187"/>
      <c r="K93" s="161" t="s">
        <v>58</v>
      </c>
    </row>
    <row r="94" spans="1:11" ht="15" customHeight="1">
      <c r="A94" s="168" t="s">
        <v>558</v>
      </c>
      <c r="B94" s="169" t="s">
        <v>1310</v>
      </c>
      <c r="C94" s="159" t="s">
        <v>273</v>
      </c>
      <c r="D94" s="159">
        <v>0</v>
      </c>
      <c r="E94" s="187"/>
      <c r="F94" s="2"/>
      <c r="G94" s="187" t="e">
        <f>+VLOOKUP(Table_1[[#This Row],[Account]],BV_Data_An_Cour!$L:$Q,6,0)</f>
        <v>#N/A</v>
      </c>
      <c r="H94" s="187"/>
      <c r="K94" s="161" t="str">
        <f>Print_Mois!C95</f>
        <v>Non Certifié</v>
      </c>
    </row>
    <row r="95" spans="1:11" ht="15" customHeight="1">
      <c r="A95" s="476" t="s">
        <v>559</v>
      </c>
      <c r="B95" s="483" t="s">
        <v>1311</v>
      </c>
      <c r="C95" s="159" t="s">
        <v>273</v>
      </c>
      <c r="D95" s="159">
        <v>0</v>
      </c>
      <c r="F95" s="187"/>
      <c r="G95" s="187" t="e">
        <f>+VLOOKUP(Table_1[[#This Row],[Account]],BV_Data_An_Cour!$L:$Q,6,0)</f>
        <v>#N/A</v>
      </c>
      <c r="H95" s="187"/>
      <c r="K95" s="161" t="str">
        <f>Print_Mois!C297</f>
        <v>P/A Garantie</v>
      </c>
    </row>
    <row r="96" spans="1:11" ht="15" customHeight="1">
      <c r="A96" s="474" t="s">
        <v>560</v>
      </c>
      <c r="B96" s="482" t="s">
        <v>1312</v>
      </c>
      <c r="C96" s="159" t="s">
        <v>273</v>
      </c>
      <c r="D96" s="159">
        <v>0</v>
      </c>
      <c r="E96" s="187"/>
      <c r="F96" s="187"/>
      <c r="G96" s="187" t="e">
        <f>+VLOOKUP(Table_1[[#This Row],[Account]],BV_Data_An_Cour!$L:$Q,6,0)</f>
        <v>#N/A</v>
      </c>
      <c r="H96" s="187"/>
      <c r="K96" s="161" t="str">
        <f>Print_Mois!V443</f>
        <v>Papeterie</v>
      </c>
    </row>
    <row r="97" spans="1:11" ht="15" customHeight="1">
      <c r="A97" s="162" t="s">
        <v>561</v>
      </c>
      <c r="B97" s="158" t="s">
        <v>1313</v>
      </c>
      <c r="C97" s="159" t="s">
        <v>273</v>
      </c>
      <c r="D97" s="159">
        <v>0</v>
      </c>
      <c r="F97" s="187"/>
      <c r="G97" s="187" t="e">
        <f>+VLOOKUP(Table_1[[#This Row],[Account]],BV_Data_An_Cour!$L:$Q,6,0)</f>
        <v>#N/A</v>
      </c>
      <c r="H97" s="187"/>
      <c r="K97" s="161" t="str">
        <f>Print_Mois!C296</f>
        <v>Pièces Ro Carrosserie</v>
      </c>
    </row>
    <row r="98" spans="1:11" ht="15" customHeight="1">
      <c r="A98" s="476" t="s">
        <v>562</v>
      </c>
      <c r="B98" s="483" t="s">
        <v>1314</v>
      </c>
      <c r="C98" s="159" t="s">
        <v>273</v>
      </c>
      <c r="D98" s="159">
        <v>0</v>
      </c>
      <c r="E98" s="187"/>
      <c r="F98" s="187"/>
      <c r="G98" s="187" t="e">
        <f>+VLOOKUP(Table_1[[#This Row],[Account]],BV_Data_An_Cour!$L:$Q,6,0)</f>
        <v>#N/A</v>
      </c>
      <c r="H98" s="187"/>
      <c r="K98" s="161" t="str">
        <f>Print_Mois!C295</f>
        <v>Pièces Ro Clients</v>
      </c>
    </row>
    <row r="99" spans="1:11" ht="15" customHeight="1">
      <c r="A99" s="476" t="s">
        <v>563</v>
      </c>
      <c r="B99" s="483" t="s">
        <v>1315</v>
      </c>
      <c r="C99" s="159" t="s">
        <v>273</v>
      </c>
      <c r="D99" s="159">
        <v>0</v>
      </c>
      <c r="E99" s="187"/>
      <c r="F99" s="2"/>
      <c r="G99" s="187" t="e">
        <f>+VLOOKUP(Table_1[[#This Row],[Account]],BV_Data_An_Cour!$L:$Q,6,0)</f>
        <v>#N/A</v>
      </c>
      <c r="H99" s="187"/>
      <c r="K99" s="161" t="s">
        <v>11</v>
      </c>
    </row>
    <row r="100" spans="1:11" ht="15" customHeight="1">
      <c r="A100" s="162" t="s">
        <v>2050</v>
      </c>
      <c r="B100" s="163" t="s">
        <v>2049</v>
      </c>
      <c r="C100" s="159" t="s">
        <v>273</v>
      </c>
      <c r="D100" s="159">
        <v>0</v>
      </c>
      <c r="E100" s="187"/>
      <c r="F100" s="2"/>
      <c r="G100" s="187" t="e">
        <f>+VLOOKUP(Table_1[[#This Row],[Account]],BV_Data_An_Cour!$L:$Q,6,0)</f>
        <v>#N/A</v>
      </c>
      <c r="H100" s="187"/>
      <c r="K100" s="161" t="str">
        <f>Print_Mois!V471</f>
        <v>RBSC neuf</v>
      </c>
    </row>
    <row r="101" spans="1:11" ht="15" customHeight="1">
      <c r="A101" s="157" t="s">
        <v>564</v>
      </c>
      <c r="B101" s="158" t="s">
        <v>1316</v>
      </c>
      <c r="C101" s="159" t="s">
        <v>273</v>
      </c>
      <c r="D101" s="159">
        <v>0</v>
      </c>
      <c r="F101" s="187"/>
      <c r="G101" s="187" t="e">
        <f>+VLOOKUP(Table_1[[#This Row],[Account]],BV_Data_An_Cour!$L:$Q,6,0)</f>
        <v>#N/A</v>
      </c>
      <c r="H101" s="187"/>
      <c r="K101" s="161" t="s">
        <v>394</v>
      </c>
    </row>
    <row r="102" spans="1:11" ht="15" customHeight="1">
      <c r="A102" s="162" t="s">
        <v>565</v>
      </c>
      <c r="B102" s="163" t="s">
        <v>1317</v>
      </c>
      <c r="C102" s="159" t="s">
        <v>273</v>
      </c>
      <c r="D102" s="159">
        <v>0</v>
      </c>
      <c r="E102" s="187"/>
      <c r="F102" s="187"/>
      <c r="G102" s="187" t="e">
        <f>+VLOOKUP(Table_1[[#This Row],[Account]],BV_Data_An_Cour!$L:$Q,6,0)</f>
        <v>#N/A</v>
      </c>
      <c r="H102" s="187"/>
      <c r="K102" s="161" t="str">
        <f>Print_Mois!V472</f>
        <v>Programme neuf 2</v>
      </c>
    </row>
    <row r="103" spans="1:11" ht="15" customHeight="1">
      <c r="A103" s="169" t="s">
        <v>566</v>
      </c>
      <c r="B103" s="169" t="s">
        <v>1318</v>
      </c>
      <c r="C103" s="159" t="s">
        <v>273</v>
      </c>
      <c r="D103" s="159">
        <v>0</v>
      </c>
      <c r="E103" s="187"/>
      <c r="F103" s="187"/>
      <c r="G103" s="187" t="e">
        <f>+VLOOKUP(Table_1[[#This Row],[Account]],BV_Data_An_Cour!$L:$Q,6,0)</f>
        <v>#N/A</v>
      </c>
      <c r="H103" s="187"/>
      <c r="K103" s="161" t="str">
        <f>Print_Mois!V473</f>
        <v>Programme neuf 3</v>
      </c>
    </row>
    <row r="104" spans="1:11" ht="15" customHeight="1">
      <c r="A104" s="476" t="s">
        <v>567</v>
      </c>
      <c r="B104" s="483" t="s">
        <v>1319</v>
      </c>
      <c r="C104" s="159" t="s">
        <v>273</v>
      </c>
      <c r="D104" s="159">
        <v>0</v>
      </c>
      <c r="E104" s="187"/>
      <c r="F104" s="2"/>
      <c r="G104" s="187" t="e">
        <f>+VLOOKUP(Table_1[[#This Row],[Account]],BV_Data_An_Cour!$L:$Q,6,0)</f>
        <v>#N/A</v>
      </c>
      <c r="H104" s="187"/>
      <c r="K104" s="161" t="str">
        <f>Print_Mois!V414</f>
        <v>Publicité 1</v>
      </c>
    </row>
    <row r="105" spans="1:11" ht="15" customHeight="1">
      <c r="A105" s="157" t="s">
        <v>568</v>
      </c>
      <c r="B105" s="158" t="s">
        <v>1320</v>
      </c>
      <c r="C105" s="159" t="s">
        <v>273</v>
      </c>
      <c r="D105" s="159">
        <v>0</v>
      </c>
      <c r="F105" s="187"/>
      <c r="G105" s="187" t="str">
        <f>+VLOOKUP(Table_1[[#This Row],[Account]],BV_Data_An_Cour!$L:$Q,6,0)</f>
        <v>1-Mémo</v>
      </c>
      <c r="H105" s="187"/>
      <c r="K105" s="161" t="s">
        <v>118</v>
      </c>
    </row>
    <row r="106" spans="1:11" ht="15" customHeight="1">
      <c r="A106" s="169" t="s">
        <v>890</v>
      </c>
      <c r="B106" s="169" t="s">
        <v>389</v>
      </c>
      <c r="C106" s="159" t="s">
        <v>75</v>
      </c>
      <c r="D106" s="159" t="s">
        <v>104</v>
      </c>
      <c r="E106" s="187" t="s">
        <v>285</v>
      </c>
      <c r="F106" s="187"/>
      <c r="G106" s="187" t="str">
        <f>+VLOOKUP(Table_1[[#This Row],[Account]],BV_Data_An_Cour!$L:$Q,6,0)</f>
        <v>7-Dépenses</v>
      </c>
      <c r="H106" s="187"/>
      <c r="K106" s="161" t="str">
        <f>Print_Mois!C19</f>
        <v>Rachat bail</v>
      </c>
    </row>
    <row r="107" spans="1:11" ht="15" customHeight="1">
      <c r="A107" s="168" t="s">
        <v>925</v>
      </c>
      <c r="B107" s="169" t="s">
        <v>390</v>
      </c>
      <c r="C107" s="159" t="s">
        <v>140</v>
      </c>
      <c r="D107" s="159" t="s">
        <v>104</v>
      </c>
      <c r="E107" s="187" t="s">
        <v>285</v>
      </c>
      <c r="F107" s="2"/>
      <c r="G107" s="187" t="str">
        <f>+VLOOKUP(Table_1[[#This Row],[Account]],BV_Data_An_Cour!$L:$Q,6,0)</f>
        <v>7-Dépenses</v>
      </c>
      <c r="H107" s="187"/>
      <c r="K107" s="161" t="s">
        <v>25</v>
      </c>
    </row>
    <row r="108" spans="1:11" ht="15" customHeight="1">
      <c r="A108" s="162" t="s">
        <v>569</v>
      </c>
      <c r="B108" s="163" t="s">
        <v>1321</v>
      </c>
      <c r="C108" s="159" t="s">
        <v>273</v>
      </c>
      <c r="D108" s="159">
        <v>0</v>
      </c>
      <c r="E108" s="187"/>
      <c r="F108" s="187"/>
      <c r="G108" s="187" t="e">
        <f>+VLOOKUP(Table_1[[#This Row],[Account]],BV_Data_An_Cour!$L:$Q,6,0)</f>
        <v>#N/A</v>
      </c>
      <c r="H108" s="187"/>
      <c r="K108" s="161" t="s">
        <v>21</v>
      </c>
    </row>
    <row r="109" spans="1:11" ht="15" customHeight="1">
      <c r="A109" s="476" t="s">
        <v>570</v>
      </c>
      <c r="B109" s="483" t="s">
        <v>1322</v>
      </c>
      <c r="C109" s="159" t="s">
        <v>273</v>
      </c>
      <c r="D109" s="159">
        <v>0</v>
      </c>
      <c r="E109" s="187"/>
      <c r="F109" s="2"/>
      <c r="G109" s="187" t="e">
        <f>+VLOOKUP(Table_1[[#This Row],[Account]],BV_Data_An_Cour!$L:$Q,6,0)</f>
        <v>#N/A</v>
      </c>
      <c r="H109" s="187"/>
      <c r="K109" s="161" t="s">
        <v>12</v>
      </c>
    </row>
    <row r="110" spans="1:11" ht="15" customHeight="1">
      <c r="A110" s="157" t="s">
        <v>571</v>
      </c>
      <c r="B110" s="158" t="s">
        <v>1323</v>
      </c>
      <c r="C110" s="159" t="s">
        <v>273</v>
      </c>
      <c r="D110" s="159">
        <v>0</v>
      </c>
      <c r="F110" s="187"/>
      <c r="G110" s="187" t="e">
        <f>+VLOOKUP(Table_1[[#This Row],[Account]],BV_Data_An_Cour!$L:$Q,6,0)</f>
        <v>#N/A</v>
      </c>
      <c r="H110" s="187"/>
      <c r="K110" s="161" t="s">
        <v>19</v>
      </c>
    </row>
    <row r="111" spans="1:11" ht="15" customHeight="1">
      <c r="A111" s="476" t="s">
        <v>572</v>
      </c>
      <c r="B111" s="483" t="s">
        <v>1324</v>
      </c>
      <c r="C111" s="159" t="s">
        <v>273</v>
      </c>
      <c r="D111" s="159">
        <v>0</v>
      </c>
      <c r="E111" s="187"/>
      <c r="F111" s="2"/>
      <c r="G111" s="187" t="e">
        <f>+VLOOKUP(Table_1[[#This Row],[Account]],BV_Data_An_Cour!$L:$Q,6,0)</f>
        <v>#N/A</v>
      </c>
      <c r="H111" s="187"/>
      <c r="K111" s="161" t="s">
        <v>15</v>
      </c>
    </row>
    <row r="112" spans="1:11" ht="15" customHeight="1">
      <c r="A112" s="157" t="s">
        <v>573</v>
      </c>
      <c r="B112" s="158" t="s">
        <v>1325</v>
      </c>
      <c r="C112" s="159" t="s">
        <v>273</v>
      </c>
      <c r="D112" s="159">
        <v>0</v>
      </c>
      <c r="F112" s="187"/>
      <c r="G112" s="187" t="e">
        <f>+VLOOKUP(Table_1[[#This Row],[Account]],BV_Data_An_Cour!$L:$Q,6,0)</f>
        <v>#N/A</v>
      </c>
      <c r="H112" s="187"/>
      <c r="K112" s="161" t="s">
        <v>17</v>
      </c>
    </row>
    <row r="113" spans="1:11" ht="15" customHeight="1">
      <c r="A113" s="168" t="s">
        <v>574</v>
      </c>
      <c r="B113" s="169" t="s">
        <v>1326</v>
      </c>
      <c r="C113" s="159" t="s">
        <v>273</v>
      </c>
      <c r="D113" s="159">
        <v>0</v>
      </c>
      <c r="E113" s="187"/>
      <c r="F113" s="2"/>
      <c r="G113" s="187" t="e">
        <f>+VLOOKUP(Table_1[[#This Row],[Account]],BV_Data_An_Cour!$L:$Q,6,0)</f>
        <v>#N/A</v>
      </c>
      <c r="H113" s="187"/>
      <c r="K113" s="161" t="s">
        <v>13</v>
      </c>
    </row>
    <row r="114" spans="1:11" ht="15" customHeight="1">
      <c r="A114" s="476" t="s">
        <v>575</v>
      </c>
      <c r="B114" s="483" t="s">
        <v>1327</v>
      </c>
      <c r="C114" s="159" t="s">
        <v>273</v>
      </c>
      <c r="D114" s="159">
        <v>0</v>
      </c>
      <c r="F114" s="187"/>
      <c r="G114" s="187" t="e">
        <f>+VLOOKUP(Table_1[[#This Row],[Account]],BV_Data_An_Cour!$L:$Q,6,0)</f>
        <v>#N/A</v>
      </c>
      <c r="H114" s="187"/>
      <c r="K114" s="161" t="s">
        <v>176</v>
      </c>
    </row>
    <row r="115" spans="1:11" ht="15" customHeight="1">
      <c r="A115" s="168" t="s">
        <v>576</v>
      </c>
      <c r="B115" s="169" t="s">
        <v>1328</v>
      </c>
      <c r="C115" s="159" t="s">
        <v>273</v>
      </c>
      <c r="D115" s="159">
        <v>0</v>
      </c>
      <c r="E115" s="187"/>
      <c r="F115" s="2"/>
      <c r="G115" s="187" t="e">
        <f>+VLOOKUP(Table_1[[#This Row],[Account]],BV_Data_An_Cour!$L:$Q,6,0)</f>
        <v>#N/A</v>
      </c>
      <c r="H115" s="187"/>
      <c r="K115" s="161" t="str">
        <f>Print_Mois!V460</f>
        <v>Réparation équipement</v>
      </c>
    </row>
    <row r="116" spans="1:11" ht="15" customHeight="1">
      <c r="A116" s="157" t="s">
        <v>1330</v>
      </c>
      <c r="B116" s="158" t="s">
        <v>1329</v>
      </c>
      <c r="C116" s="159" t="s">
        <v>273</v>
      </c>
      <c r="D116" s="159">
        <v>0</v>
      </c>
      <c r="F116" s="187"/>
      <c r="G116" s="187" t="e">
        <f>+VLOOKUP(Table_1[[#This Row],[Account]],BV_Data_An_Cour!$L:$Q,6,0)</f>
        <v>#N/A</v>
      </c>
      <c r="H116" s="187"/>
      <c r="K116" s="161" t="s">
        <v>282</v>
      </c>
    </row>
    <row r="117" spans="1:11" ht="15" customHeight="1">
      <c r="A117" s="476" t="s">
        <v>577</v>
      </c>
      <c r="B117" s="483" t="s">
        <v>1331</v>
      </c>
      <c r="C117" s="159" t="s">
        <v>273</v>
      </c>
      <c r="D117" s="159">
        <v>0</v>
      </c>
      <c r="E117" s="187"/>
      <c r="F117" s="187"/>
      <c r="G117" s="187" t="str">
        <f>+VLOOKUP(Table_1[[#This Row],[Account]],BV_Data_An_Cour!$L:$Q,6,0)</f>
        <v>1-Mémo</v>
      </c>
      <c r="H117" s="187"/>
      <c r="K117" s="161" t="str">
        <f>Print_Mois!C23</f>
        <v>Rev. Autres</v>
      </c>
    </row>
    <row r="118" spans="1:11" ht="15" customHeight="1">
      <c r="A118" s="169" t="s">
        <v>578</v>
      </c>
      <c r="B118" s="169" t="s">
        <v>1332</v>
      </c>
      <c r="C118" s="159" t="s">
        <v>273</v>
      </c>
      <c r="D118" s="159">
        <v>0</v>
      </c>
      <c r="E118" s="187"/>
      <c r="F118" s="187"/>
      <c r="G118" s="187" t="str">
        <f>+VLOOKUP(Table_1[[#This Row],[Account]],BV_Data_An_Cour!$L:$Q,6,0)</f>
        <v>1-Mémo</v>
      </c>
      <c r="H118" s="187"/>
      <c r="K118" s="161" t="str">
        <f>Print_Mois!C21</f>
        <v>Rev. Finances</v>
      </c>
    </row>
    <row r="119" spans="1:11" ht="15" customHeight="1">
      <c r="A119" s="168" t="s">
        <v>579</v>
      </c>
      <c r="B119" s="169" t="s">
        <v>1333</v>
      </c>
      <c r="C119" s="159" t="s">
        <v>273</v>
      </c>
      <c r="D119" s="159">
        <v>0</v>
      </c>
      <c r="E119" s="187"/>
      <c r="F119" s="2"/>
      <c r="G119" s="187" t="str">
        <f>+VLOOKUP(Table_1[[#This Row],[Account]],BV_Data_An_Cour!$L:$Q,6,0)</f>
        <v>1-Mémo</v>
      </c>
      <c r="H119" s="187"/>
      <c r="K119" s="161" t="str">
        <f>Print_Mois!C22</f>
        <v>Rev. Protections</v>
      </c>
    </row>
    <row r="120" spans="1:11" ht="15" customHeight="1">
      <c r="A120" s="169" t="s">
        <v>580</v>
      </c>
      <c r="B120" s="169" t="s">
        <v>1334</v>
      </c>
      <c r="C120" s="159" t="s">
        <v>273</v>
      </c>
      <c r="D120" s="159">
        <v>0</v>
      </c>
      <c r="F120" s="187"/>
      <c r="G120" s="187" t="str">
        <f>+VLOOKUP(Table_1[[#This Row],[Account]],BV_Data_An_Cour!$L:$Q,6,0)</f>
        <v>1-Mémo</v>
      </c>
      <c r="H120" s="187"/>
      <c r="K120" s="161" t="str">
        <f>Print_Mois!V469</f>
        <v>Revenus autres</v>
      </c>
    </row>
    <row r="121" spans="1:11" ht="15" customHeight="1">
      <c r="A121" s="162" t="s">
        <v>581</v>
      </c>
      <c r="B121" s="158" t="s">
        <v>1335</v>
      </c>
      <c r="C121" s="159" t="s">
        <v>273</v>
      </c>
      <c r="D121" s="159">
        <v>0</v>
      </c>
      <c r="E121" s="187"/>
      <c r="F121" s="187"/>
      <c r="G121" s="187" t="str">
        <f>+VLOOKUP(Table_1[[#This Row],[Account]],BV_Data_An_Cour!$L:$Q,6,0)</f>
        <v>1-Mémo</v>
      </c>
      <c r="H121" s="187"/>
      <c r="K121" s="161" t="s">
        <v>36</v>
      </c>
    </row>
    <row r="122" spans="1:11" ht="15" customHeight="1">
      <c r="A122" s="157" t="s">
        <v>582</v>
      </c>
      <c r="B122" s="158" t="s">
        <v>1336</v>
      </c>
      <c r="C122" s="159" t="s">
        <v>273</v>
      </c>
      <c r="D122" s="159">
        <v>0</v>
      </c>
      <c r="E122" s="187"/>
      <c r="F122" s="187"/>
      <c r="G122" s="187" t="str">
        <f>+VLOOKUP(Table_1[[#This Row],[Account]],BV_Data_An_Cour!$L:$Q,6,0)</f>
        <v>1-Mémo</v>
      </c>
      <c r="H122" s="187"/>
      <c r="K122" s="161" t="str">
        <f>Print_Mois!V423</f>
        <v>Salaires autres</v>
      </c>
    </row>
    <row r="123" spans="1:11" ht="15" customHeight="1">
      <c r="A123" s="158" t="s">
        <v>583</v>
      </c>
      <c r="B123" s="158" t="s">
        <v>1337</v>
      </c>
      <c r="C123" s="159" t="s">
        <v>273</v>
      </c>
      <c r="D123" s="159">
        <v>0</v>
      </c>
      <c r="E123" s="187"/>
      <c r="F123" s="187"/>
      <c r="G123" s="187" t="str">
        <f>+VLOOKUP(Table_1[[#This Row],[Account]],BV_Data_An_Cour!$L:$Q,6,0)</f>
        <v>1-Mémo</v>
      </c>
      <c r="H123" s="187"/>
      <c r="K123" s="161" t="str">
        <f>Print_Mois!V421</f>
        <v>Salaires cadres</v>
      </c>
    </row>
    <row r="124" spans="1:11" ht="15" customHeight="1">
      <c r="A124" s="163" t="s">
        <v>584</v>
      </c>
      <c r="B124" s="163" t="s">
        <v>1338</v>
      </c>
      <c r="C124" s="159" t="s">
        <v>273</v>
      </c>
      <c r="D124" s="159">
        <v>0</v>
      </c>
      <c r="E124" s="187"/>
      <c r="F124" s="2"/>
      <c r="G124" s="187" t="str">
        <f>+VLOOKUP(Table_1[[#This Row],[Account]],BV_Data_An_Cour!$L:$Q,6,0)</f>
        <v>1-Mémo</v>
      </c>
      <c r="H124" s="187"/>
      <c r="K124" s="161" t="str">
        <f>Print_Mois!C43</f>
        <v>Salaires commis</v>
      </c>
    </row>
    <row r="125" spans="1:11" ht="15" customHeight="1">
      <c r="A125" s="157" t="s">
        <v>585</v>
      </c>
      <c r="B125" s="158" t="s">
        <v>1339</v>
      </c>
      <c r="C125" s="159" t="s">
        <v>273</v>
      </c>
      <c r="D125" s="159">
        <v>0</v>
      </c>
      <c r="F125" s="187"/>
      <c r="G125" s="187" t="str">
        <f>+VLOOKUP(Table_1[[#This Row],[Account]],BV_Data_An_Cour!$L:$Q,6,0)</f>
        <v>1-Mémo</v>
      </c>
      <c r="H125" s="187"/>
      <c r="K125" s="161" t="str">
        <f>Print_Mois!V422</f>
        <v>Salaires commis</v>
      </c>
    </row>
    <row r="126" spans="1:11" ht="15" customHeight="1">
      <c r="A126" s="168" t="s">
        <v>586</v>
      </c>
      <c r="B126" s="169" t="s">
        <v>1340</v>
      </c>
      <c r="C126" s="159" t="s">
        <v>273</v>
      </c>
      <c r="D126" s="159">
        <v>0</v>
      </c>
      <c r="E126" s="187"/>
      <c r="F126" s="2"/>
      <c r="G126" s="187" t="str">
        <f>+VLOOKUP(Table_1[[#This Row],[Account]],BV_Data_An_Cour!$L:$Q,6,0)</f>
        <v>1-Mémo</v>
      </c>
      <c r="H126" s="187"/>
      <c r="K126" s="161" t="str">
        <f>Print_Mois!V428</f>
        <v>Salaires en absences</v>
      </c>
    </row>
    <row r="127" spans="1:11" ht="15" customHeight="1">
      <c r="A127" s="749" t="s">
        <v>2001</v>
      </c>
      <c r="B127" s="750" t="s">
        <v>2078</v>
      </c>
      <c r="C127" s="159" t="s">
        <v>273</v>
      </c>
      <c r="D127" s="159">
        <v>0</v>
      </c>
      <c r="E127" s="187"/>
      <c r="F127" s="2"/>
      <c r="G127" s="187" t="e">
        <f>+VLOOKUP(Table_1[[#This Row],[Account]],BV_Data_An_Cour!$L:$Q,6,0)</f>
        <v>#N/A</v>
      </c>
      <c r="H127" s="187"/>
      <c r="K127" s="161" t="str">
        <f>Print_Mois!V420</f>
        <v>Salaires propriétaire</v>
      </c>
    </row>
    <row r="128" spans="1:11" ht="15" customHeight="1">
      <c r="A128" s="162" t="s">
        <v>2000</v>
      </c>
      <c r="B128" s="163" t="s">
        <v>1999</v>
      </c>
      <c r="C128" s="159" t="s">
        <v>273</v>
      </c>
      <c r="D128" s="159">
        <v>0</v>
      </c>
      <c r="E128" s="187"/>
      <c r="F128" s="2"/>
      <c r="G128" s="187" t="str">
        <f>+VLOOKUP(Table_1[[#This Row],[Account]],BV_Data_An_Cour!$L:$Q,6,0)</f>
        <v>1-Mémo</v>
      </c>
      <c r="H128" s="187"/>
      <c r="K128" s="161" t="str">
        <f>Print_Mois!V424</f>
        <v>Salaires spécialistes</v>
      </c>
    </row>
    <row r="129" spans="1:29" ht="15" customHeight="1">
      <c r="A129" s="162" t="s">
        <v>2003</v>
      </c>
      <c r="B129" s="163" t="s">
        <v>2002</v>
      </c>
      <c r="C129" s="159" t="s">
        <v>273</v>
      </c>
      <c r="D129" s="159">
        <v>0</v>
      </c>
      <c r="E129" s="187"/>
      <c r="F129" s="2"/>
      <c r="G129" s="187" t="str">
        <f>+VLOOKUP(Table_1[[#This Row],[Account]],BV_Data_An_Cour!$L:$Q,6,0)</f>
        <v>1-Mémo</v>
      </c>
      <c r="H129" s="187"/>
      <c r="K129" s="161" t="str">
        <f>Print_Mois!C34</f>
        <v>Service gratuit 1</v>
      </c>
    </row>
    <row r="130" spans="1:29" ht="15" customHeight="1">
      <c r="A130" s="157" t="s">
        <v>587</v>
      </c>
      <c r="B130" s="158" t="s">
        <v>1341</v>
      </c>
      <c r="C130" s="159" t="s">
        <v>273</v>
      </c>
      <c r="D130" s="159">
        <v>0</v>
      </c>
      <c r="F130" s="187"/>
      <c r="G130" s="187" t="str">
        <f>+VLOOKUP(Table_1[[#This Row],[Account]],BV_Data_An_Cour!$L:$Q,6,0)</f>
        <v>1-Mémo</v>
      </c>
      <c r="H130" s="187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588</v>
      </c>
      <c r="B131" s="169" t="s">
        <v>1342</v>
      </c>
      <c r="C131" s="159" t="s">
        <v>273</v>
      </c>
      <c r="D131" s="159">
        <v>0</v>
      </c>
      <c r="E131" s="187"/>
      <c r="F131" s="2"/>
      <c r="G131" s="187" t="str">
        <f>+VLOOKUP(Table_1[[#This Row],[Account]],BV_Data_An_Cour!$L:$Q,6,0)</f>
        <v>1-Mémo</v>
      </c>
      <c r="H131" s="187"/>
      <c r="K131" s="161" t="str">
        <f>Print_Mois!V439</f>
        <v>Services extérieurs</v>
      </c>
    </row>
    <row r="132" spans="1:29" ht="15" customHeight="1">
      <c r="A132" s="162" t="s">
        <v>892</v>
      </c>
      <c r="B132" s="163" t="s">
        <v>1134</v>
      </c>
      <c r="C132" s="159" t="s">
        <v>75</v>
      </c>
      <c r="D132" s="159" t="s">
        <v>105</v>
      </c>
      <c r="E132" s="187" t="s">
        <v>285</v>
      </c>
      <c r="F132" s="2"/>
      <c r="G132" s="187" t="str">
        <f>+VLOOKUP(Table_1[[#This Row],[Account]],BV_Data_An_Cour!$L:$Q,6,0)</f>
        <v>7-Dépenses</v>
      </c>
      <c r="H132" s="187"/>
      <c r="K132" s="161" t="s">
        <v>41</v>
      </c>
    </row>
    <row r="133" spans="1:29" ht="15" customHeight="1">
      <c r="A133" s="162" t="s">
        <v>916</v>
      </c>
      <c r="B133" s="163" t="s">
        <v>1189</v>
      </c>
      <c r="C133" s="159" t="s">
        <v>140</v>
      </c>
      <c r="D133" s="159" t="s">
        <v>105</v>
      </c>
      <c r="E133" s="187" t="s">
        <v>285</v>
      </c>
      <c r="F133" s="2"/>
      <c r="G133" s="187" t="str">
        <f>+VLOOKUP(Table_1[[#This Row],[Account]],BV_Data_An_Cour!$L:$Q,6,0)</f>
        <v>7-Dépenses</v>
      </c>
      <c r="H133" s="187"/>
      <c r="K133" s="161" t="str">
        <f>Print_Mois!C188</f>
        <v>Sous-traitement</v>
      </c>
    </row>
    <row r="134" spans="1:29" ht="15" customHeight="1">
      <c r="A134" s="162" t="s">
        <v>945</v>
      </c>
      <c r="B134" s="163" t="s">
        <v>1767</v>
      </c>
      <c r="C134" s="159" t="s">
        <v>147</v>
      </c>
      <c r="D134" s="159" t="s">
        <v>118</v>
      </c>
      <c r="E134" s="187" t="s">
        <v>285</v>
      </c>
      <c r="F134" s="2"/>
      <c r="G134" s="187" t="str">
        <f>+VLOOKUP(Table_1[[#This Row],[Account]],BV_Data_An_Cour!$L:$Q,6,0)</f>
        <v>7-Dépenses</v>
      </c>
      <c r="H134" s="187"/>
      <c r="K134" s="161" t="s">
        <v>118</v>
      </c>
    </row>
    <row r="135" spans="1:29" ht="15" customHeight="1">
      <c r="A135" s="162" t="s">
        <v>860</v>
      </c>
      <c r="B135" s="163" t="s">
        <v>1723</v>
      </c>
      <c r="C135" s="159" t="s">
        <v>167</v>
      </c>
      <c r="D135" s="159" t="s">
        <v>118</v>
      </c>
      <c r="E135" s="187" t="s">
        <v>285</v>
      </c>
      <c r="F135" s="2"/>
      <c r="G135" s="187" t="str">
        <f>+VLOOKUP(Table_1[[#This Row],[Account]],BV_Data_An_Cour!$L:$Q,6,0)</f>
        <v>7-Dépenses</v>
      </c>
      <c r="H135" s="187"/>
      <c r="K135" s="161" t="s">
        <v>88</v>
      </c>
    </row>
    <row r="136" spans="1:29" ht="15" customHeight="1">
      <c r="A136" s="476" t="s">
        <v>764</v>
      </c>
      <c r="B136" s="483" t="s">
        <v>1453</v>
      </c>
      <c r="C136" s="159" t="s">
        <v>163</v>
      </c>
      <c r="D136" s="159" t="s">
        <v>118</v>
      </c>
      <c r="E136" s="187" t="s">
        <v>285</v>
      </c>
      <c r="F136" s="2"/>
      <c r="G136" s="187" t="e">
        <f>+VLOOKUP(Table_1[[#This Row],[Account]],BV_Data_An_Cour!$L:$Q,6,0)</f>
        <v>#N/A</v>
      </c>
      <c r="H136" s="187"/>
      <c r="K136" s="161" t="s">
        <v>226</v>
      </c>
    </row>
    <row r="137" spans="1:29" ht="15" customHeight="1">
      <c r="A137" s="157" t="s">
        <v>589</v>
      </c>
      <c r="B137" s="158" t="s">
        <v>1343</v>
      </c>
      <c r="C137" s="159" t="s">
        <v>273</v>
      </c>
      <c r="D137" s="159">
        <v>0</v>
      </c>
      <c r="F137" s="187"/>
      <c r="G137" s="187" t="str">
        <f>+VLOOKUP(Table_1[[#This Row],[Account]],BV_Data_An_Cour!$L:$Q,6,0)</f>
        <v>1-Mémo</v>
      </c>
      <c r="H137" s="187"/>
      <c r="K137" s="161" t="s">
        <v>228</v>
      </c>
    </row>
    <row r="138" spans="1:29" ht="15" customHeight="1">
      <c r="A138" s="162" t="s">
        <v>2005</v>
      </c>
      <c r="B138" s="163" t="s">
        <v>2004</v>
      </c>
      <c r="C138" s="159" t="s">
        <v>273</v>
      </c>
      <c r="D138" s="159">
        <v>0</v>
      </c>
      <c r="E138" s="187"/>
      <c r="F138" s="2"/>
      <c r="G138" s="187" t="str">
        <f>+VLOOKUP(Table_1[[#This Row],[Account]],BV_Data_An_Cour!$L:$Q,6,0)</f>
        <v>1-Mémo</v>
      </c>
      <c r="H138" s="187"/>
      <c r="K138" s="161" t="str">
        <f>Print_Mois!V456</f>
        <v>Taxe sur le capital</v>
      </c>
    </row>
    <row r="139" spans="1:29" ht="15" customHeight="1">
      <c r="A139" s="163" t="s">
        <v>1345</v>
      </c>
      <c r="B139" s="163" t="s">
        <v>1344</v>
      </c>
      <c r="C139" s="159" t="s">
        <v>273</v>
      </c>
      <c r="D139" s="159">
        <v>0</v>
      </c>
      <c r="E139" s="187"/>
      <c r="F139" s="2"/>
      <c r="G139" s="187" t="str">
        <f>+VLOOKUP(Table_1[[#This Row],[Account]],BV_Data_An_Cour!$L:$Q,6,0)</f>
        <v>1-Mémo</v>
      </c>
      <c r="H139" s="187"/>
      <c r="K139" s="161" t="s">
        <v>18</v>
      </c>
    </row>
    <row r="140" spans="1:29" ht="15" customHeight="1">
      <c r="A140" s="157" t="s">
        <v>1347</v>
      </c>
      <c r="B140" s="158" t="s">
        <v>1346</v>
      </c>
      <c r="C140" s="159" t="s">
        <v>273</v>
      </c>
      <c r="D140" s="159">
        <v>0</v>
      </c>
      <c r="F140" s="187"/>
      <c r="G140" s="187" t="str">
        <f>+VLOOKUP(Table_1[[#This Row],[Account]],BV_Data_An_Cour!$L:$Q,6,0)</f>
        <v>1-Mémo</v>
      </c>
      <c r="H140" s="187"/>
      <c r="K140" s="161" t="str">
        <f>Print_Mois!V444</f>
        <v>Téléphone</v>
      </c>
    </row>
    <row r="141" spans="1:29" ht="15" customHeight="1">
      <c r="A141" s="168" t="s">
        <v>590</v>
      </c>
      <c r="B141" s="169" t="s">
        <v>1348</v>
      </c>
      <c r="C141" s="159" t="s">
        <v>273</v>
      </c>
      <c r="D141" s="159">
        <v>0</v>
      </c>
      <c r="E141" s="187"/>
      <c r="F141" s="2"/>
      <c r="G141" s="187" t="str">
        <f>+VLOOKUP(Table_1[[#This Row],[Account]],BV_Data_An_Cour!$L:$Q,6,0)</f>
        <v>1-Mémo</v>
      </c>
      <c r="H141" s="187"/>
      <c r="K141" s="161" t="s">
        <v>39</v>
      </c>
    </row>
    <row r="142" spans="1:29" ht="15" customHeight="1">
      <c r="A142" s="169" t="s">
        <v>591</v>
      </c>
      <c r="B142" s="169" t="s">
        <v>1349</v>
      </c>
      <c r="C142" s="159" t="s">
        <v>273</v>
      </c>
      <c r="D142" s="159">
        <v>0</v>
      </c>
      <c r="F142" s="187"/>
      <c r="G142" s="187" t="str">
        <f>+VLOOKUP(Table_1[[#This Row],[Account]],BV_Data_An_Cour!$L:$Q,6,0)</f>
        <v>1-Mémo</v>
      </c>
      <c r="H142" s="187"/>
      <c r="K142" s="161" t="s">
        <v>125</v>
      </c>
    </row>
    <row r="143" spans="1:29" ht="15" customHeight="1">
      <c r="A143" s="168" t="s">
        <v>592</v>
      </c>
      <c r="B143" s="169" t="s">
        <v>1350</v>
      </c>
      <c r="C143" s="159" t="s">
        <v>273</v>
      </c>
      <c r="D143" s="159">
        <v>0</v>
      </c>
      <c r="E143" s="187"/>
      <c r="F143" s="187"/>
      <c r="G143" s="187" t="str">
        <f>+VLOOKUP(Table_1[[#This Row],[Account]],BV_Data_An_Cour!$L:$Q,6,0)</f>
        <v>1-Mémo</v>
      </c>
      <c r="H143" s="187"/>
      <c r="K143" s="161" t="str">
        <f>Print_Mois!C100</f>
        <v>Ventes au Gros</v>
      </c>
    </row>
    <row r="144" spans="1:29" ht="15" customHeight="1">
      <c r="A144" s="162" t="s">
        <v>593</v>
      </c>
      <c r="B144" s="163" t="s">
        <v>1351</v>
      </c>
      <c r="C144" s="159" t="s">
        <v>273</v>
      </c>
      <c r="D144" s="159">
        <v>0</v>
      </c>
      <c r="E144" s="187"/>
      <c r="F144" s="187"/>
      <c r="G144" s="187" t="str">
        <f>+VLOOKUP(Table_1[[#This Row],[Account]],BV_Data_An_Cour!$L:$Q,6,0)</f>
        <v>1-Mémo</v>
      </c>
      <c r="H144" s="187"/>
      <c r="K144" s="161" t="str">
        <f>Print_Mois!C300</f>
        <v>Ventes de Gros</v>
      </c>
    </row>
    <row r="145" spans="1:11" ht="15" customHeight="1">
      <c r="A145" s="168" t="s">
        <v>1353</v>
      </c>
      <c r="B145" s="169" t="s">
        <v>1352</v>
      </c>
      <c r="C145" s="159" t="s">
        <v>273</v>
      </c>
      <c r="D145" s="159">
        <v>0</v>
      </c>
      <c r="E145" s="187"/>
      <c r="F145" s="2"/>
      <c r="G145" s="187" t="str">
        <f>+VLOOKUP(Table_1[[#This Row],[Account]],BV_Data_An_Cour!$L:$Q,6,0)</f>
        <v>1-Mémo</v>
      </c>
      <c r="H145" s="187"/>
      <c r="K145" s="161" t="s">
        <v>173</v>
      </c>
    </row>
    <row r="146" spans="1:11" ht="15" customHeight="1">
      <c r="A146" s="157" t="s">
        <v>594</v>
      </c>
      <c r="B146" s="158" t="s">
        <v>1354</v>
      </c>
      <c r="C146" s="159" t="s">
        <v>273</v>
      </c>
      <c r="D146" s="159">
        <v>0</v>
      </c>
      <c r="F146" s="187"/>
      <c r="G146" s="187" t="str">
        <f>+VLOOKUP(Table_1[[#This Row],[Account]],BV_Data_An_Cour!$L:$Q,6,0)</f>
        <v>1-Mémo</v>
      </c>
      <c r="H146" s="187"/>
      <c r="K146" s="161" t="str">
        <f>Print_Mois!C298</f>
        <v>Ventes Internes</v>
      </c>
    </row>
    <row r="147" spans="1:11" ht="15" customHeight="1">
      <c r="A147" s="157" t="s">
        <v>595</v>
      </c>
      <c r="B147" s="158" t="s">
        <v>1355</v>
      </c>
      <c r="C147" s="159" t="s">
        <v>273</v>
      </c>
      <c r="D147" s="159">
        <v>0</v>
      </c>
      <c r="E147" s="187"/>
      <c r="F147" s="187"/>
      <c r="G147" s="187" t="str">
        <f>+VLOOKUP(Table_1[[#This Row],[Account]],BV_Data_An_Cour!$L:$Q,6,0)</f>
        <v>1-Mémo</v>
      </c>
      <c r="H147" s="187"/>
      <c r="K147" s="161" t="str">
        <f>Print_Mois!C307</f>
        <v>Ventes Pneus</v>
      </c>
    </row>
    <row r="148" spans="1:11" ht="15" customHeight="1">
      <c r="A148" s="474" t="s">
        <v>930</v>
      </c>
      <c r="B148" s="482" t="s">
        <v>1665</v>
      </c>
      <c r="C148" s="159" t="s">
        <v>75</v>
      </c>
      <c r="D148" s="159" t="s">
        <v>105</v>
      </c>
      <c r="E148" s="187" t="s">
        <v>285</v>
      </c>
      <c r="F148" s="2"/>
      <c r="G148" s="187" t="str">
        <f>+VLOOKUP(Table_1[[#This Row],[Account]],BV_Data_An_Cour!$L:$Q,6,0)</f>
        <v>7-Dépenses</v>
      </c>
      <c r="H148" s="187"/>
      <c r="K148" s="161" t="s">
        <v>2417</v>
      </c>
    </row>
    <row r="149" spans="1:11" ht="15" customHeight="1">
      <c r="A149" s="474" t="s">
        <v>941</v>
      </c>
      <c r="B149" s="482" t="s">
        <v>1819</v>
      </c>
      <c r="C149" s="159" t="s">
        <v>75</v>
      </c>
      <c r="D149" s="159" t="s">
        <v>106</v>
      </c>
      <c r="E149" s="187" t="s">
        <v>285</v>
      </c>
      <c r="F149" s="2"/>
      <c r="G149" s="187" t="str">
        <f>+VLOOKUP(Table_1[[#This Row],[Account]],BV_Data_An_Cour!$L:$Q,6,0)</f>
        <v>7-Dépenses</v>
      </c>
      <c r="H149" s="187"/>
    </row>
    <row r="150" spans="1:11" ht="15" customHeight="1">
      <c r="A150" s="162" t="s">
        <v>787</v>
      </c>
      <c r="B150" s="163" t="s">
        <v>1706</v>
      </c>
      <c r="C150" s="159" t="s">
        <v>140</v>
      </c>
      <c r="D150" s="159" t="s">
        <v>106</v>
      </c>
      <c r="E150" s="187" t="s">
        <v>285</v>
      </c>
      <c r="F150" s="2"/>
      <c r="G150" s="187" t="str">
        <f>+VLOOKUP(Table_1[[#This Row],[Account]],BV_Data_An_Cour!$L:$Q,6,0)</f>
        <v>7-Dépenses</v>
      </c>
      <c r="H150" s="187"/>
    </row>
    <row r="151" spans="1:11" ht="15" customHeight="1">
      <c r="A151" s="162" t="s">
        <v>2853</v>
      </c>
      <c r="B151" s="158" t="s">
        <v>2852</v>
      </c>
      <c r="C151" s="159" t="s">
        <v>273</v>
      </c>
      <c r="D151" s="159" t="s">
        <v>2814</v>
      </c>
      <c r="E151" s="187" t="s">
        <v>285</v>
      </c>
      <c r="F151" s="160"/>
      <c r="G151" s="493"/>
      <c r="H151" s="187"/>
    </row>
    <row r="152" spans="1:11" ht="15" customHeight="1">
      <c r="A152" s="157" t="s">
        <v>461</v>
      </c>
      <c r="B152" s="158" t="s">
        <v>1181</v>
      </c>
      <c r="C152" s="159" t="s">
        <v>75</v>
      </c>
      <c r="D152" s="159" t="s">
        <v>105</v>
      </c>
      <c r="E152" s="187" t="s">
        <v>285</v>
      </c>
      <c r="F152" s="2"/>
      <c r="G152" s="187" t="str">
        <f>+VLOOKUP(Table_1[[#This Row],[Account]],BV_Data_An_Cour!$L:$Q,6,0)</f>
        <v>7-Dépenses</v>
      </c>
      <c r="H152" s="187"/>
    </row>
    <row r="153" spans="1:11" ht="15" customHeight="1">
      <c r="A153" s="168" t="s">
        <v>463</v>
      </c>
      <c r="B153" s="169" t="s">
        <v>1200</v>
      </c>
      <c r="C153" s="159" t="s">
        <v>140</v>
      </c>
      <c r="D153" s="159" t="s">
        <v>105</v>
      </c>
      <c r="E153" s="187" t="s">
        <v>285</v>
      </c>
      <c r="F153" s="2"/>
      <c r="G153" s="187" t="str">
        <f>+VLOOKUP(Table_1[[#This Row],[Account]],BV_Data_An_Cour!$L:$Q,6,0)</f>
        <v>7-Dépenses</v>
      </c>
      <c r="H153" s="2"/>
    </row>
    <row r="154" spans="1:11" ht="15" customHeight="1">
      <c r="A154" s="476" t="s">
        <v>371</v>
      </c>
      <c r="B154" s="483" t="s">
        <v>358</v>
      </c>
      <c r="C154" s="159" t="s">
        <v>272</v>
      </c>
      <c r="D154" s="159" t="s">
        <v>1889</v>
      </c>
      <c r="E154" s="187" t="s">
        <v>285</v>
      </c>
      <c r="F154" s="187"/>
      <c r="G154" s="187" t="str">
        <f>+VLOOKUP(Table_1[[#This Row],[Account]],BV_Data_An_Cour!$L:$Q,6,0)</f>
        <v>2-Actifs</v>
      </c>
      <c r="H154" s="2"/>
    </row>
    <row r="155" spans="1:11" ht="15" customHeight="1">
      <c r="A155" s="162" t="s">
        <v>359</v>
      </c>
      <c r="B155" s="163" t="s">
        <v>1069</v>
      </c>
      <c r="C155" s="159" t="s">
        <v>272</v>
      </c>
      <c r="D155" s="159" t="s">
        <v>1889</v>
      </c>
      <c r="E155" s="187" t="s">
        <v>285</v>
      </c>
      <c r="F155" s="2"/>
      <c r="G155" s="187" t="str">
        <f>+VLOOKUP(Table_1[[#This Row],[Account]],BV_Data_An_Cour!$L:$Q,6,0)</f>
        <v>2-Actifs</v>
      </c>
      <c r="H155" s="2"/>
    </row>
    <row r="156" spans="1:11" ht="15" customHeight="1">
      <c r="A156" s="162" t="s">
        <v>2337</v>
      </c>
      <c r="B156" s="158" t="s">
        <v>2336</v>
      </c>
      <c r="C156" s="159" t="s">
        <v>2153</v>
      </c>
      <c r="D156" s="159" t="s">
        <v>8</v>
      </c>
      <c r="E156" s="187" t="s">
        <v>285</v>
      </c>
      <c r="F156" s="160"/>
      <c r="G156" s="493"/>
      <c r="H156" s="2"/>
    </row>
    <row r="157" spans="1:11" ht="15" customHeight="1">
      <c r="A157" s="162" t="s">
        <v>2953</v>
      </c>
      <c r="B157" s="158" t="s">
        <v>2952</v>
      </c>
      <c r="C157" s="159" t="s">
        <v>272</v>
      </c>
      <c r="D157" s="159" t="s">
        <v>65</v>
      </c>
      <c r="E157" s="187" t="s">
        <v>285</v>
      </c>
      <c r="F157" s="160"/>
      <c r="G157" s="493"/>
      <c r="H157" s="2"/>
    </row>
    <row r="158" spans="1:11" ht="15" customHeight="1">
      <c r="A158" s="162" t="s">
        <v>370</v>
      </c>
      <c r="B158" s="158" t="s">
        <v>399</v>
      </c>
      <c r="C158" s="159" t="s">
        <v>272</v>
      </c>
      <c r="D158" s="159" t="s">
        <v>12</v>
      </c>
      <c r="E158" s="187" t="s">
        <v>285</v>
      </c>
      <c r="F158" s="2"/>
      <c r="G158" s="187" t="str">
        <f>+VLOOKUP(Table_1[[#This Row],[Account]],BV_Data_An_Cour!$L:$Q,6,0)</f>
        <v>2-Actifs</v>
      </c>
      <c r="H158" s="2"/>
    </row>
    <row r="159" spans="1:11" ht="15" customHeight="1">
      <c r="A159" s="162" t="s">
        <v>942</v>
      </c>
      <c r="B159" s="163" t="s">
        <v>1822</v>
      </c>
      <c r="C159" s="159" t="s">
        <v>75</v>
      </c>
      <c r="D159" s="159" t="s">
        <v>203</v>
      </c>
      <c r="E159" s="187" t="s">
        <v>285</v>
      </c>
      <c r="F159" s="2"/>
      <c r="G159" s="187" t="str">
        <f>+VLOOKUP(Table_1[[#This Row],[Account]],BV_Data_An_Cour!$L:$Q,6,0)</f>
        <v>7-Dépenses</v>
      </c>
      <c r="H159" s="2"/>
    </row>
    <row r="160" spans="1:11" ht="15" customHeight="1">
      <c r="A160" s="162" t="s">
        <v>907</v>
      </c>
      <c r="B160" s="163" t="s">
        <v>1797</v>
      </c>
      <c r="C160" s="159" t="s">
        <v>140</v>
      </c>
      <c r="D160" s="159" t="s">
        <v>203</v>
      </c>
      <c r="E160" s="187" t="s">
        <v>285</v>
      </c>
      <c r="F160" s="2"/>
      <c r="G160" s="187" t="str">
        <f>+VLOOKUP(Table_1[[#This Row],[Account]],BV_Data_An_Cour!$L:$Q,6,0)</f>
        <v>7-Dépenses</v>
      </c>
      <c r="H160" s="2"/>
    </row>
    <row r="161" spans="1:11" ht="15" customHeight="1">
      <c r="A161" s="162" t="s">
        <v>897</v>
      </c>
      <c r="B161" s="163" t="s">
        <v>1783</v>
      </c>
      <c r="C161" s="159" t="s">
        <v>147</v>
      </c>
      <c r="D161" s="159" t="s">
        <v>203</v>
      </c>
      <c r="E161" s="187" t="s">
        <v>285</v>
      </c>
      <c r="F161" s="2"/>
      <c r="G161" s="187" t="str">
        <f>+VLOOKUP(Table_1[[#This Row],[Account]],BV_Data_An_Cour!$L:$Q,6,0)</f>
        <v>7-Dépenses</v>
      </c>
      <c r="H161" s="2"/>
    </row>
    <row r="162" spans="1:11" ht="15" customHeight="1">
      <c r="A162" s="163" t="s">
        <v>887</v>
      </c>
      <c r="B162" s="163" t="s">
        <v>1774</v>
      </c>
      <c r="C162" s="159" t="s">
        <v>167</v>
      </c>
      <c r="D162" s="159" t="s">
        <v>203</v>
      </c>
      <c r="E162" s="187" t="s">
        <v>285</v>
      </c>
      <c r="F162" s="2"/>
      <c r="G162" s="187" t="str">
        <f>+VLOOKUP(Table_1[[#This Row],[Account]],BV_Data_An_Cour!$L:$Q,6,0)</f>
        <v>7-Dépenses</v>
      </c>
      <c r="H162" s="2"/>
    </row>
    <row r="163" spans="1:11" ht="15" customHeight="1">
      <c r="A163" s="168" t="s">
        <v>825</v>
      </c>
      <c r="B163" s="169" t="s">
        <v>1675</v>
      </c>
      <c r="C163" s="159" t="s">
        <v>163</v>
      </c>
      <c r="D163" s="159" t="s">
        <v>203</v>
      </c>
      <c r="E163" s="187" t="s">
        <v>285</v>
      </c>
      <c r="F163" s="2"/>
      <c r="G163" s="187" t="e">
        <f>+VLOOKUP(Table_1[[#This Row],[Account]],BV_Data_An_Cour!$L:$Q,6,0)</f>
        <v>#N/A</v>
      </c>
      <c r="H163" s="2"/>
    </row>
    <row r="164" spans="1:11" ht="15" customHeight="1">
      <c r="A164" s="474" t="s">
        <v>375</v>
      </c>
      <c r="B164" s="164" t="s">
        <v>1093</v>
      </c>
      <c r="C164" s="159" t="s">
        <v>272</v>
      </c>
      <c r="D164" s="159" t="s">
        <v>13</v>
      </c>
      <c r="E164" s="187" t="s">
        <v>285</v>
      </c>
      <c r="F164" s="2"/>
      <c r="G164" s="187" t="str">
        <f>+VLOOKUP(Table_1[[#This Row],[Account]],BV_Data_An_Cour!$L:$Q,6,0)</f>
        <v>2-Actifs</v>
      </c>
      <c r="H164" s="2"/>
    </row>
    <row r="165" spans="1:11" ht="15" customHeight="1">
      <c r="A165" s="476" t="s">
        <v>397</v>
      </c>
      <c r="B165" s="483" t="s">
        <v>1073</v>
      </c>
      <c r="C165" s="159" t="s">
        <v>272</v>
      </c>
      <c r="D165" s="159" t="s">
        <v>13</v>
      </c>
      <c r="E165" s="187" t="s">
        <v>285</v>
      </c>
      <c r="F165" s="2"/>
      <c r="G165" s="187" t="str">
        <f>+VLOOKUP(Table_1[[#This Row],[Account]],BV_Data_An_Cour!$L:$Q,6,0)</f>
        <v>2-Actifs</v>
      </c>
      <c r="H165" s="2"/>
    </row>
    <row r="166" spans="1:11" ht="15" customHeight="1">
      <c r="A166" s="479" t="s">
        <v>2339</v>
      </c>
      <c r="B166" s="480" t="s">
        <v>2338</v>
      </c>
      <c r="C166" s="159" t="s">
        <v>2153</v>
      </c>
      <c r="D166" s="159" t="s">
        <v>23</v>
      </c>
      <c r="E166" s="187" t="s">
        <v>285</v>
      </c>
      <c r="F166" s="160"/>
      <c r="G166" s="493"/>
      <c r="H166" s="2"/>
      <c r="K166" s="2"/>
    </row>
    <row r="167" spans="1:11" ht="15" customHeight="1">
      <c r="A167" s="162" t="s">
        <v>961</v>
      </c>
      <c r="B167" s="478" t="s">
        <v>1824</v>
      </c>
      <c r="C167" s="159" t="s">
        <v>75</v>
      </c>
      <c r="D167" s="159" t="s">
        <v>109</v>
      </c>
      <c r="E167" s="187" t="s">
        <v>285</v>
      </c>
      <c r="F167" s="2"/>
      <c r="G167" s="187" t="str">
        <f>+VLOOKUP(Table_1[[#This Row],[Account]],BV_Data_An_Cour!$L:$Q,6,0)</f>
        <v>7-Dépenses</v>
      </c>
      <c r="H167" s="2"/>
    </row>
    <row r="168" spans="1:11" ht="15" customHeight="1">
      <c r="A168" s="479" t="s">
        <v>922</v>
      </c>
      <c r="B168" s="163" t="s">
        <v>1770</v>
      </c>
      <c r="C168" s="159" t="s">
        <v>140</v>
      </c>
      <c r="D168" s="159" t="s">
        <v>109</v>
      </c>
      <c r="E168" s="187" t="s">
        <v>285</v>
      </c>
      <c r="F168" s="2"/>
      <c r="G168" s="187" t="str">
        <f>+VLOOKUP(Table_1[[#This Row],[Account]],BV_Data_An_Cour!$L:$Q,6,0)</f>
        <v>7-Dépenses</v>
      </c>
      <c r="H168" s="2"/>
    </row>
    <row r="169" spans="1:11" ht="15" customHeight="1">
      <c r="A169" s="479" t="s">
        <v>950</v>
      </c>
      <c r="B169" s="478" t="s">
        <v>1806</v>
      </c>
      <c r="C169" s="159" t="s">
        <v>147</v>
      </c>
      <c r="D169" s="159" t="s">
        <v>109</v>
      </c>
      <c r="E169" s="187" t="s">
        <v>285</v>
      </c>
      <c r="F169" s="2"/>
      <c r="G169" s="187" t="str">
        <f>+VLOOKUP(Table_1[[#This Row],[Account]],BV_Data_An_Cour!$L:$Q,6,0)</f>
        <v>7-Dépenses</v>
      </c>
      <c r="H169" s="2"/>
    </row>
    <row r="170" spans="1:11" ht="15" customHeight="1">
      <c r="A170" s="474" t="s">
        <v>938</v>
      </c>
      <c r="B170" s="482" t="s">
        <v>1805</v>
      </c>
      <c r="C170" s="159" t="s">
        <v>167</v>
      </c>
      <c r="D170" s="159" t="s">
        <v>109</v>
      </c>
      <c r="E170" s="187" t="s">
        <v>285</v>
      </c>
      <c r="F170" s="2"/>
      <c r="G170" s="187" t="str">
        <f>+VLOOKUP(Table_1[[#This Row],[Account]],BV_Data_An_Cour!$L:$Q,6,0)</f>
        <v>7-Dépenses</v>
      </c>
      <c r="H170" s="2"/>
    </row>
    <row r="171" spans="1:11" ht="15" customHeight="1">
      <c r="A171" s="477" t="s">
        <v>799</v>
      </c>
      <c r="B171" s="169" t="s">
        <v>1630</v>
      </c>
      <c r="C171" s="159" t="s">
        <v>163</v>
      </c>
      <c r="D171" s="159" t="s">
        <v>109</v>
      </c>
      <c r="E171" s="187" t="s">
        <v>285</v>
      </c>
      <c r="F171" s="2"/>
      <c r="G171" s="187" t="e">
        <f>+VLOOKUP(Table_1[[#This Row],[Account]],BV_Data_An_Cour!$L:$Q,6,0)</f>
        <v>#N/A</v>
      </c>
      <c r="H171" s="2"/>
    </row>
    <row r="172" spans="1:11" ht="15" customHeight="1">
      <c r="A172" s="162" t="s">
        <v>372</v>
      </c>
      <c r="B172" s="478" t="s">
        <v>444</v>
      </c>
      <c r="C172" s="159" t="s">
        <v>272</v>
      </c>
      <c r="D172" s="159" t="s">
        <v>17</v>
      </c>
      <c r="E172" s="187" t="s">
        <v>285</v>
      </c>
      <c r="F172" s="187"/>
      <c r="G172" s="187" t="str">
        <f>+VLOOKUP(Table_1[[#This Row],[Account]],BV_Data_An_Cour!$L:$Q,6,0)</f>
        <v>2-Actifs</v>
      </c>
      <c r="H172" s="2"/>
    </row>
    <row r="173" spans="1:11" ht="15" customHeight="1">
      <c r="A173" s="162" t="s">
        <v>2332</v>
      </c>
      <c r="B173" s="158" t="s">
        <v>2331</v>
      </c>
      <c r="C173" s="159" t="s">
        <v>272</v>
      </c>
      <c r="D173" s="159" t="s">
        <v>25</v>
      </c>
      <c r="E173" s="187" t="s">
        <v>285</v>
      </c>
      <c r="F173" s="160"/>
      <c r="G173" s="493"/>
      <c r="H173" s="2"/>
    </row>
    <row r="174" spans="1:11" ht="15" customHeight="1">
      <c r="A174" s="479" t="s">
        <v>2302</v>
      </c>
      <c r="B174" s="158" t="s">
        <v>2301</v>
      </c>
      <c r="C174" s="159" t="s">
        <v>272</v>
      </c>
      <c r="D174" s="159" t="s">
        <v>25</v>
      </c>
      <c r="E174" s="187" t="s">
        <v>285</v>
      </c>
      <c r="F174" s="160"/>
      <c r="G174" s="493"/>
      <c r="H174" s="2"/>
    </row>
    <row r="175" spans="1:11" ht="15" customHeight="1">
      <c r="A175" s="162" t="s">
        <v>2938</v>
      </c>
      <c r="B175" s="158" t="s">
        <v>2937</v>
      </c>
      <c r="C175" s="159" t="s">
        <v>272</v>
      </c>
      <c r="D175" s="159" t="s">
        <v>40</v>
      </c>
      <c r="E175" s="187" t="s">
        <v>285</v>
      </c>
      <c r="F175" s="160"/>
      <c r="G175" s="493"/>
      <c r="H175" s="2"/>
    </row>
    <row r="176" spans="1:11" ht="15" customHeight="1">
      <c r="A176" s="162" t="s">
        <v>2197</v>
      </c>
      <c r="B176" s="158" t="s">
        <v>2196</v>
      </c>
      <c r="C176" s="159" t="s">
        <v>272</v>
      </c>
      <c r="D176" s="159" t="s">
        <v>23</v>
      </c>
      <c r="E176" s="187" t="s">
        <v>285</v>
      </c>
      <c r="F176" s="160"/>
      <c r="G176" s="187" t="e">
        <f>+VLOOKUP(Table_1[[#This Row],[Account]],BV_Data_An_Cour!$L:$Q,6,0)</f>
        <v>#N/A</v>
      </c>
      <c r="H176" s="2"/>
    </row>
    <row r="177" spans="1:8" ht="15" customHeight="1">
      <c r="A177" s="476" t="s">
        <v>385</v>
      </c>
      <c r="B177" s="483" t="s">
        <v>1114</v>
      </c>
      <c r="C177" s="159" t="s">
        <v>272</v>
      </c>
      <c r="D177" s="159" t="s">
        <v>15</v>
      </c>
      <c r="E177" s="187" t="s">
        <v>285</v>
      </c>
      <c r="F177" s="2"/>
      <c r="G177" s="187" t="str">
        <f>+VLOOKUP(Table_1[[#This Row],[Account]],BV_Data_An_Cour!$L:$Q,6,0)</f>
        <v>2-Actifs</v>
      </c>
      <c r="H177" s="2"/>
    </row>
    <row r="178" spans="1:8" ht="15" customHeight="1">
      <c r="A178" s="162" t="s">
        <v>451</v>
      </c>
      <c r="B178" s="163" t="s">
        <v>1833</v>
      </c>
      <c r="C178" s="159" t="s">
        <v>272</v>
      </c>
      <c r="D178" s="159" t="s">
        <v>15</v>
      </c>
      <c r="E178" s="187" t="s">
        <v>285</v>
      </c>
      <c r="F178" s="2"/>
      <c r="G178" s="187" t="str">
        <f>+VLOOKUP(Table_1[[#This Row],[Account]],BV_Data_An_Cour!$L:$Q,6,0)</f>
        <v>2-Actifs</v>
      </c>
      <c r="H178" s="2"/>
    </row>
    <row r="179" spans="1:8" ht="15" customHeight="1">
      <c r="A179" s="476" t="s">
        <v>1010</v>
      </c>
      <c r="B179" s="483" t="s">
        <v>1193</v>
      </c>
      <c r="C179" s="159" t="s">
        <v>272</v>
      </c>
      <c r="D179" s="159" t="s">
        <v>25</v>
      </c>
      <c r="E179" s="187" t="s">
        <v>285</v>
      </c>
      <c r="F179" s="187"/>
      <c r="G179" s="187" t="e">
        <f>+VLOOKUP(Table_1[[#This Row],[Account]],BV_Data_An_Cour!$L:$Q,6,0)</f>
        <v>#N/A</v>
      </c>
      <c r="H179" s="2"/>
    </row>
    <row r="180" spans="1:8" ht="15" customHeight="1">
      <c r="A180" s="165" t="s">
        <v>965</v>
      </c>
      <c r="B180" s="164" t="s">
        <v>1788</v>
      </c>
      <c r="C180" s="159" t="s">
        <v>272</v>
      </c>
      <c r="D180" s="159" t="s">
        <v>19</v>
      </c>
      <c r="E180" s="187" t="s">
        <v>285</v>
      </c>
      <c r="F180" s="2"/>
      <c r="G180" s="187" t="str">
        <f>+VLOOKUP(Table_1[[#This Row],[Account]],BV_Data_An_Cour!$L:$Q,6,0)</f>
        <v>2-Actifs</v>
      </c>
      <c r="H180" s="2"/>
    </row>
    <row r="181" spans="1:8" ht="15" customHeight="1">
      <c r="A181" s="162" t="s">
        <v>392</v>
      </c>
      <c r="B181" s="163" t="s">
        <v>1817</v>
      </c>
      <c r="C181" s="159" t="s">
        <v>272</v>
      </c>
      <c r="D181" s="159" t="s">
        <v>17</v>
      </c>
      <c r="E181" s="187" t="s">
        <v>285</v>
      </c>
      <c r="F181" s="187"/>
      <c r="G181" s="187" t="e">
        <f>+VLOOKUP(Table_1[[#This Row],[Account]],BV_Data_An_Cour!$L:$Q,6,0)</f>
        <v>#N/A</v>
      </c>
      <c r="H181" s="2"/>
    </row>
    <row r="182" spans="1:8" ht="15" customHeight="1">
      <c r="A182" s="1209" t="s">
        <v>1917</v>
      </c>
      <c r="B182" s="164" t="s">
        <v>1916</v>
      </c>
      <c r="C182" s="159" t="s">
        <v>272</v>
      </c>
      <c r="D182" s="159" t="s">
        <v>15</v>
      </c>
      <c r="E182" s="187" t="s">
        <v>285</v>
      </c>
      <c r="F182" s="668"/>
      <c r="G182" s="669" t="e">
        <f>+VLOOKUP(Table_1[[#This Row],[Account]],BV_Data_An_Cour!$L:$Q,6,0)</f>
        <v>#N/A</v>
      </c>
      <c r="H182" s="2"/>
    </row>
    <row r="183" spans="1:8" ht="15" customHeight="1">
      <c r="A183" s="162" t="s">
        <v>2213</v>
      </c>
      <c r="B183" s="158" t="s">
        <v>2212</v>
      </c>
      <c r="C183" s="159" t="s">
        <v>272</v>
      </c>
      <c r="D183" s="159" t="s">
        <v>17</v>
      </c>
      <c r="E183" s="493" t="s">
        <v>285</v>
      </c>
      <c r="F183" s="160"/>
      <c r="G183" s="493"/>
      <c r="H183" s="2"/>
    </row>
    <row r="184" spans="1:8" ht="15" customHeight="1">
      <c r="A184" s="162" t="s">
        <v>924</v>
      </c>
      <c r="B184" s="163" t="s">
        <v>1791</v>
      </c>
      <c r="C184" s="159" t="s">
        <v>75</v>
      </c>
      <c r="D184" s="159" t="s">
        <v>110</v>
      </c>
      <c r="E184" s="187" t="s">
        <v>285</v>
      </c>
      <c r="F184" s="2"/>
      <c r="G184" s="187" t="str">
        <f>+VLOOKUP(Table_1[[#This Row],[Account]],BV_Data_An_Cour!$L:$Q,6,0)</f>
        <v>7-Dépenses</v>
      </c>
      <c r="H184" s="2"/>
    </row>
    <row r="185" spans="1:8" ht="15" customHeight="1">
      <c r="A185" s="479" t="s">
        <v>861</v>
      </c>
      <c r="B185" s="478" t="s">
        <v>1704</v>
      </c>
      <c r="C185" s="159" t="s">
        <v>140</v>
      </c>
      <c r="D185" s="159" t="s">
        <v>110</v>
      </c>
      <c r="E185" s="187" t="s">
        <v>285</v>
      </c>
      <c r="F185" s="2"/>
      <c r="G185" s="187" t="str">
        <f>+VLOOKUP(Table_1[[#This Row],[Account]],BV_Data_An_Cour!$L:$Q,6,0)</f>
        <v>7-Dépenses</v>
      </c>
      <c r="H185" s="2"/>
    </row>
    <row r="186" spans="1:8" ht="15" customHeight="1">
      <c r="A186" s="474" t="s">
        <v>921</v>
      </c>
      <c r="B186" s="482" t="s">
        <v>1772</v>
      </c>
      <c r="C186" s="159" t="s">
        <v>147</v>
      </c>
      <c r="D186" s="159" t="s">
        <v>110</v>
      </c>
      <c r="E186" s="187" t="s">
        <v>285</v>
      </c>
      <c r="F186" s="2"/>
      <c r="G186" s="187" t="str">
        <f>+VLOOKUP(Table_1[[#This Row],[Account]],BV_Data_An_Cour!$L:$Q,6,0)</f>
        <v>7-Dépenses</v>
      </c>
      <c r="H186" s="2"/>
    </row>
    <row r="187" spans="1:8" ht="15" customHeight="1">
      <c r="A187" s="479" t="s">
        <v>906</v>
      </c>
      <c r="B187" s="478" t="s">
        <v>1743</v>
      </c>
      <c r="C187" s="159" t="s">
        <v>167</v>
      </c>
      <c r="D187" s="159" t="s">
        <v>110</v>
      </c>
      <c r="E187" s="187" t="s">
        <v>285</v>
      </c>
      <c r="F187" s="2"/>
      <c r="G187" s="187" t="str">
        <f>+VLOOKUP(Table_1[[#This Row],[Account]],BV_Data_An_Cour!$L:$Q,6,0)</f>
        <v>7-Dépenses</v>
      </c>
      <c r="H187" s="2"/>
    </row>
    <row r="188" spans="1:8" ht="15" customHeight="1">
      <c r="A188" s="476" t="s">
        <v>820</v>
      </c>
      <c r="B188" s="483" t="s">
        <v>1654</v>
      </c>
      <c r="C188" s="159" t="s">
        <v>163</v>
      </c>
      <c r="D188" s="159" t="s">
        <v>110</v>
      </c>
      <c r="E188" s="187" t="s">
        <v>285</v>
      </c>
      <c r="F188" s="2"/>
      <c r="G188" s="187" t="e">
        <f>+VLOOKUP(Table_1[[#This Row],[Account]],BV_Data_An_Cour!$L:$Q,6,0)</f>
        <v>#N/A</v>
      </c>
      <c r="H188" s="2"/>
    </row>
    <row r="189" spans="1:8" ht="15" customHeight="1">
      <c r="A189" s="478" t="s">
        <v>352</v>
      </c>
      <c r="B189" s="478" t="s">
        <v>1850</v>
      </c>
      <c r="C189" s="159" t="s">
        <v>272</v>
      </c>
      <c r="D189" s="159" t="s">
        <v>29</v>
      </c>
      <c r="E189" s="187" t="s">
        <v>285</v>
      </c>
      <c r="F189" s="2"/>
      <c r="G189" s="187" t="str">
        <f>+VLOOKUP(Table_1[[#This Row],[Account]],BV_Data_An_Cour!$L:$Q,6,0)</f>
        <v>2-Actifs</v>
      </c>
      <c r="H189" s="2"/>
    </row>
    <row r="190" spans="1:8" ht="15" customHeight="1">
      <c r="A190" s="477" t="s">
        <v>688</v>
      </c>
      <c r="B190" s="481" t="s">
        <v>1482</v>
      </c>
      <c r="C190" s="159" t="s">
        <v>273</v>
      </c>
      <c r="D190" s="159">
        <v>0</v>
      </c>
      <c r="E190" s="187"/>
      <c r="F190" s="187"/>
      <c r="G190" s="187" t="str">
        <f>+VLOOKUP(Table_1[[#This Row],[Account]],BV_Data_An_Cour!$L:$Q,6,0)</f>
        <v>10-Compte compteur</v>
      </c>
      <c r="H190" s="2"/>
    </row>
    <row r="191" spans="1:8" ht="15" customHeight="1">
      <c r="A191" s="477" t="s">
        <v>382</v>
      </c>
      <c r="B191" s="481" t="s">
        <v>1074</v>
      </c>
      <c r="C191" s="159" t="s">
        <v>272</v>
      </c>
      <c r="D191" s="159" t="s">
        <v>29</v>
      </c>
      <c r="E191" s="187" t="s">
        <v>285</v>
      </c>
      <c r="F191" s="2"/>
      <c r="G191" s="187" t="str">
        <f>+VLOOKUP(Table_1[[#This Row],[Account]],BV_Data_An_Cour!$L:$Q,6,0)</f>
        <v>2-Actifs</v>
      </c>
      <c r="H191" s="2"/>
    </row>
    <row r="192" spans="1:8" ht="15" customHeight="1">
      <c r="A192" s="165" t="s">
        <v>689</v>
      </c>
      <c r="B192" s="164" t="s">
        <v>1483</v>
      </c>
      <c r="C192" s="159" t="s">
        <v>273</v>
      </c>
      <c r="D192" s="159">
        <v>0</v>
      </c>
      <c r="E192" s="187"/>
      <c r="F192" s="187"/>
      <c r="G192" s="187" t="str">
        <f>+VLOOKUP(Table_1[[#This Row],[Account]],BV_Data_An_Cour!$L:$Q,6,0)</f>
        <v>10-Compte compteur</v>
      </c>
      <c r="H192" s="2"/>
    </row>
    <row r="193" spans="1:8" ht="15" customHeight="1">
      <c r="A193" s="481" t="s">
        <v>353</v>
      </c>
      <c r="B193" s="481" t="s">
        <v>1176</v>
      </c>
      <c r="C193" s="159" t="s">
        <v>272</v>
      </c>
      <c r="D193" s="159" t="s">
        <v>29</v>
      </c>
      <c r="E193" s="187" t="s">
        <v>285</v>
      </c>
      <c r="F193" s="2"/>
      <c r="G193" s="187" t="str">
        <f>+VLOOKUP(Table_1[[#This Row],[Account]],BV_Data_An_Cour!$L:$Q,6,0)</f>
        <v>2-Actifs</v>
      </c>
      <c r="H193" s="2"/>
    </row>
    <row r="194" spans="1:8" ht="15" customHeight="1">
      <c r="A194" s="479" t="s">
        <v>1001</v>
      </c>
      <c r="B194" s="478" t="s">
        <v>1875</v>
      </c>
      <c r="C194" s="159" t="s">
        <v>273</v>
      </c>
      <c r="D194" s="159">
        <v>0</v>
      </c>
      <c r="E194" s="187"/>
      <c r="F194" s="2"/>
      <c r="G194" s="187" t="str">
        <f>+VLOOKUP(Table_1[[#This Row],[Account]],BV_Data_An_Cour!$L:$Q,6,0)</f>
        <v>10-Compte compteur</v>
      </c>
      <c r="H194" s="2"/>
    </row>
    <row r="195" spans="1:8" ht="15" customHeight="1">
      <c r="A195" s="479" t="s">
        <v>910</v>
      </c>
      <c r="B195" s="478" t="s">
        <v>1670</v>
      </c>
      <c r="C195" s="159" t="s">
        <v>75</v>
      </c>
      <c r="D195" s="159" t="s">
        <v>1890</v>
      </c>
      <c r="E195" s="187" t="s">
        <v>285</v>
      </c>
      <c r="F195" s="2"/>
      <c r="G195" s="187" t="e">
        <f>+VLOOKUP(Table_1[[#This Row],[Account]],BV_Data_An_Cour!$L:$Q,6,0)</f>
        <v>#N/A</v>
      </c>
      <c r="H195" s="2"/>
    </row>
    <row r="196" spans="1:8" ht="15" customHeight="1">
      <c r="A196" s="474" t="s">
        <v>937</v>
      </c>
      <c r="B196" s="482" t="s">
        <v>1782</v>
      </c>
      <c r="C196" s="159" t="s">
        <v>140</v>
      </c>
      <c r="D196" s="159" t="s">
        <v>1890</v>
      </c>
      <c r="E196" s="187" t="s">
        <v>285</v>
      </c>
      <c r="F196" s="2"/>
      <c r="G196" s="187" t="e">
        <f>+VLOOKUP(Table_1[[#This Row],[Account]],BV_Data_An_Cour!$L:$Q,6,0)</f>
        <v>#N/A</v>
      </c>
      <c r="H196" s="2"/>
    </row>
    <row r="197" spans="1:8" ht="15" customHeight="1">
      <c r="A197" s="162" t="s">
        <v>949</v>
      </c>
      <c r="B197" s="163" t="s">
        <v>1215</v>
      </c>
      <c r="C197" s="159" t="s">
        <v>147</v>
      </c>
      <c r="D197" s="159" t="s">
        <v>1890</v>
      </c>
      <c r="E197" s="187" t="s">
        <v>285</v>
      </c>
      <c r="F197" s="2"/>
      <c r="G197" s="187" t="str">
        <f>+VLOOKUP(Table_1[[#This Row],[Account]],BV_Data_An_Cour!$L:$Q,6,0)</f>
        <v>7-Dépenses</v>
      </c>
      <c r="H197" s="2"/>
    </row>
    <row r="198" spans="1:8" ht="15" customHeight="1">
      <c r="A198" s="162" t="s">
        <v>962</v>
      </c>
      <c r="B198" s="163" t="s">
        <v>1740</v>
      </c>
      <c r="C198" s="159" t="s">
        <v>167</v>
      </c>
      <c r="D198" s="159" t="s">
        <v>1890</v>
      </c>
      <c r="E198" s="187" t="s">
        <v>285</v>
      </c>
      <c r="F198" s="2"/>
      <c r="G198" s="187" t="str">
        <f>+VLOOKUP(Table_1[[#This Row],[Account]],BV_Data_An_Cour!$L:$Q,6,0)</f>
        <v>7-Dépenses</v>
      </c>
      <c r="H198" s="2"/>
    </row>
    <row r="199" spans="1:8" ht="15" customHeight="1">
      <c r="A199" s="476" t="s">
        <v>681</v>
      </c>
      <c r="B199" s="483" t="s">
        <v>1612</v>
      </c>
      <c r="C199" s="159" t="s">
        <v>163</v>
      </c>
      <c r="D199" s="159" t="s">
        <v>1890</v>
      </c>
      <c r="E199" s="187" t="s">
        <v>285</v>
      </c>
      <c r="F199" s="2"/>
      <c r="G199" s="187" t="e">
        <f>+VLOOKUP(Table_1[[#This Row],[Account]],BV_Data_An_Cour!$L:$Q,6,0)</f>
        <v>#N/A</v>
      </c>
      <c r="H199" s="2"/>
    </row>
    <row r="200" spans="1:8" ht="15" customHeight="1">
      <c r="A200" s="474" t="s">
        <v>408</v>
      </c>
      <c r="B200" s="482" t="s">
        <v>1083</v>
      </c>
      <c r="C200" s="159" t="s">
        <v>272</v>
      </c>
      <c r="D200" s="159" t="s">
        <v>31</v>
      </c>
      <c r="E200" s="187" t="s">
        <v>285</v>
      </c>
      <c r="F200" s="187"/>
      <c r="G200" s="187" t="str">
        <f>+VLOOKUP(Table_1[[#This Row],[Account]],BV_Data_An_Cour!$L:$Q,6,0)</f>
        <v>2-Actifs</v>
      </c>
    </row>
    <row r="201" spans="1:8" ht="15" customHeight="1">
      <c r="A201" s="474" t="s">
        <v>690</v>
      </c>
      <c r="B201" s="482" t="s">
        <v>1484</v>
      </c>
      <c r="C201" s="159" t="s">
        <v>273</v>
      </c>
      <c r="D201" s="159">
        <v>0</v>
      </c>
      <c r="E201" s="187"/>
      <c r="F201" s="187"/>
      <c r="G201" s="187" t="str">
        <f>+VLOOKUP(Table_1[[#This Row],[Account]],BV_Data_An_Cour!$L:$Q,6,0)</f>
        <v>10-Compte compteur</v>
      </c>
      <c r="H201" s="2"/>
    </row>
    <row r="202" spans="1:8" ht="15" customHeight="1">
      <c r="A202" s="476" t="s">
        <v>432</v>
      </c>
      <c r="B202" s="483" t="s">
        <v>1092</v>
      </c>
      <c r="C202" s="159" t="s">
        <v>272</v>
      </c>
      <c r="D202" s="159" t="s">
        <v>31</v>
      </c>
      <c r="E202" s="187" t="s">
        <v>285</v>
      </c>
      <c r="F202" s="2"/>
      <c r="G202" s="187" t="str">
        <f>+VLOOKUP(Table_1[[#This Row],[Account]],BV_Data_An_Cour!$L:$Q,6,0)</f>
        <v>2-Actifs</v>
      </c>
      <c r="H202" s="2"/>
    </row>
    <row r="203" spans="1:8" ht="15" customHeight="1">
      <c r="A203" s="157" t="s">
        <v>691</v>
      </c>
      <c r="B203" s="158" t="s">
        <v>1485</v>
      </c>
      <c r="C203" s="159" t="s">
        <v>273</v>
      </c>
      <c r="D203" s="159">
        <v>0</v>
      </c>
      <c r="E203" s="187"/>
      <c r="F203" s="2"/>
      <c r="G203" s="187" t="str">
        <f>+VLOOKUP(Table_1[[#This Row],[Account]],BV_Data_An_Cour!$L:$Q,6,0)</f>
        <v>10-Compte compteur</v>
      </c>
      <c r="H203" s="2"/>
    </row>
    <row r="204" spans="1:8" ht="15" customHeight="1">
      <c r="A204" s="476" t="s">
        <v>819</v>
      </c>
      <c r="B204" s="483" t="s">
        <v>1840</v>
      </c>
      <c r="C204" s="159" t="s">
        <v>272</v>
      </c>
      <c r="D204" s="159" t="s">
        <v>31</v>
      </c>
      <c r="E204" s="187" t="s">
        <v>285</v>
      </c>
      <c r="F204" s="187"/>
      <c r="G204" s="187" t="str">
        <f>+VLOOKUP(Table_1[[#This Row],[Account]],BV_Data_An_Cour!$L:$Q,6,0)</f>
        <v>2-Actifs</v>
      </c>
      <c r="H204" s="2"/>
    </row>
    <row r="205" spans="1:8" ht="15" customHeight="1">
      <c r="A205" s="168" t="s">
        <v>1035</v>
      </c>
      <c r="B205" s="169" t="s">
        <v>1486</v>
      </c>
      <c r="C205" s="159" t="s">
        <v>273</v>
      </c>
      <c r="D205" s="159">
        <v>0</v>
      </c>
      <c r="E205" s="187"/>
      <c r="F205" s="187"/>
      <c r="G205" s="187" t="str">
        <f>+VLOOKUP(Table_1[[#This Row],[Account]],BV_Data_An_Cour!$L:$Q,6,0)</f>
        <v>10-Compte compteur</v>
      </c>
      <c r="H205" s="2"/>
    </row>
    <row r="206" spans="1:8" ht="15" customHeight="1">
      <c r="A206" s="157" t="s">
        <v>421</v>
      </c>
      <c r="B206" s="158" t="s">
        <v>1107</v>
      </c>
      <c r="C206" s="159" t="s">
        <v>272</v>
      </c>
      <c r="D206" s="159" t="s">
        <v>33</v>
      </c>
      <c r="E206" s="187" t="s">
        <v>285</v>
      </c>
      <c r="F206" s="187"/>
      <c r="G206" s="187" t="str">
        <f>+VLOOKUP(Table_1[[#This Row],[Account]],BV_Data_An_Cour!$L:$Q,6,0)</f>
        <v>2-Actifs</v>
      </c>
      <c r="H206" s="2"/>
    </row>
    <row r="207" spans="1:8" ht="15" customHeight="1">
      <c r="A207" s="479" t="s">
        <v>1147</v>
      </c>
      <c r="B207" s="478" t="s">
        <v>362</v>
      </c>
      <c r="C207" s="159" t="s">
        <v>272</v>
      </c>
      <c r="D207" s="159" t="s">
        <v>33</v>
      </c>
      <c r="E207" s="187" t="s">
        <v>285</v>
      </c>
      <c r="F207" s="2"/>
      <c r="G207" s="187" t="str">
        <f>+VLOOKUP(Table_1[[#This Row],[Account]],BV_Data_An_Cour!$L:$Q,6,0)</f>
        <v>2-Actifs</v>
      </c>
      <c r="H207" s="2"/>
    </row>
    <row r="208" spans="1:8" ht="15" customHeight="1">
      <c r="A208" s="165" t="s">
        <v>881</v>
      </c>
      <c r="B208" s="164" t="s">
        <v>1192</v>
      </c>
      <c r="C208" s="159" t="s">
        <v>272</v>
      </c>
      <c r="D208" s="159" t="s">
        <v>41</v>
      </c>
      <c r="E208" s="187" t="s">
        <v>285</v>
      </c>
      <c r="F208" s="187"/>
      <c r="G208" s="187" t="str">
        <f>+VLOOKUP(Table_1[[#This Row],[Account]],BV_Data_An_Cour!$L:$Q,6,0)</f>
        <v>2-Actifs</v>
      </c>
      <c r="H208" s="2"/>
    </row>
    <row r="209" spans="1:8" ht="15" customHeight="1">
      <c r="A209" s="170" t="s">
        <v>1857</v>
      </c>
      <c r="B209" s="171" t="s">
        <v>1856</v>
      </c>
      <c r="C209" s="159" t="s">
        <v>272</v>
      </c>
      <c r="D209" s="159" t="s">
        <v>41</v>
      </c>
      <c r="E209" s="187" t="s">
        <v>285</v>
      </c>
      <c r="F209" s="2"/>
      <c r="G209" s="187" t="e">
        <f>+VLOOKUP(Table_1[[#This Row],[Account]],BV_Data_An_Cour!$L:$Q,6,0)</f>
        <v>#N/A</v>
      </c>
      <c r="H209" s="2"/>
    </row>
    <row r="210" spans="1:8" ht="15" customHeight="1">
      <c r="A210" s="478" t="s">
        <v>1203</v>
      </c>
      <c r="B210" s="164" t="s">
        <v>1202</v>
      </c>
      <c r="C210" s="159" t="s">
        <v>272</v>
      </c>
      <c r="D210" s="159" t="s">
        <v>41</v>
      </c>
      <c r="E210" s="187" t="s">
        <v>285</v>
      </c>
      <c r="F210" s="2"/>
      <c r="G210" s="187" t="e">
        <f>+VLOOKUP(Table_1[[#This Row],[Account]],BV_Data_An_Cour!$L:$Q,6,0)</f>
        <v>#N/A</v>
      </c>
      <c r="H210" s="2"/>
    </row>
    <row r="211" spans="1:8" ht="15" customHeight="1">
      <c r="A211" s="475" t="s">
        <v>462</v>
      </c>
      <c r="B211" s="480" t="s">
        <v>380</v>
      </c>
      <c r="C211" s="159" t="s">
        <v>272</v>
      </c>
      <c r="D211" s="159" t="s">
        <v>39</v>
      </c>
      <c r="E211" s="187" t="s">
        <v>285</v>
      </c>
      <c r="F211" s="187"/>
      <c r="G211" s="187" t="str">
        <f>+VLOOKUP(Table_1[[#This Row],[Account]],BV_Data_An_Cour!$L:$Q,6,0)</f>
        <v>2-Actifs</v>
      </c>
      <c r="H211" s="2"/>
    </row>
    <row r="212" spans="1:8" ht="15" customHeight="1">
      <c r="A212" s="477" t="s">
        <v>427</v>
      </c>
      <c r="B212" s="481" t="s">
        <v>1825</v>
      </c>
      <c r="C212" s="159" t="s">
        <v>272</v>
      </c>
      <c r="D212" s="159" t="s">
        <v>33</v>
      </c>
      <c r="E212" s="187" t="s">
        <v>285</v>
      </c>
      <c r="F212" s="2"/>
      <c r="G212" s="187" t="str">
        <f>+VLOOKUP(Table_1[[#This Row],[Account]],BV_Data_An_Cour!$L:$Q,6,0)</f>
        <v>2-Actifs</v>
      </c>
      <c r="H212" s="2"/>
    </row>
    <row r="213" spans="1:8" ht="15" customHeight="1">
      <c r="A213" s="479" t="s">
        <v>918</v>
      </c>
      <c r="B213" s="478" t="s">
        <v>1703</v>
      </c>
      <c r="C213" s="159" t="s">
        <v>75</v>
      </c>
      <c r="D213" s="159" t="s">
        <v>113</v>
      </c>
      <c r="E213" s="187" t="s">
        <v>285</v>
      </c>
      <c r="F213" s="2"/>
      <c r="G213" s="187" t="str">
        <f>+VLOOKUP(Table_1[[#This Row],[Account]],BV_Data_An_Cour!$L:$Q,6,0)</f>
        <v>7-Dépenses</v>
      </c>
      <c r="H213" s="2"/>
    </row>
    <row r="214" spans="1:8" ht="15" customHeight="1">
      <c r="A214" s="479" t="s">
        <v>858</v>
      </c>
      <c r="B214" s="478" t="s">
        <v>1212</v>
      </c>
      <c r="C214" s="159" t="s">
        <v>140</v>
      </c>
      <c r="D214" s="159" t="s">
        <v>113</v>
      </c>
      <c r="E214" s="187" t="s">
        <v>285</v>
      </c>
      <c r="F214" s="2"/>
      <c r="G214" s="187" t="str">
        <f>+VLOOKUP(Table_1[[#This Row],[Account]],BV_Data_An_Cour!$L:$Q,6,0)</f>
        <v>7-Dépenses</v>
      </c>
      <c r="H214" s="2"/>
    </row>
    <row r="215" spans="1:8" ht="15" customHeight="1">
      <c r="A215" s="165" t="s">
        <v>952</v>
      </c>
      <c r="B215" s="164" t="s">
        <v>1742</v>
      </c>
      <c r="C215" s="159" t="s">
        <v>147</v>
      </c>
      <c r="D215" s="159" t="s">
        <v>113</v>
      </c>
      <c r="E215" s="187" t="s">
        <v>285</v>
      </c>
      <c r="F215" s="2"/>
      <c r="G215" s="187" t="str">
        <f>+VLOOKUP(Table_1[[#This Row],[Account]],BV_Data_An_Cour!$L:$Q,6,0)</f>
        <v>7-Dépenses</v>
      </c>
    </row>
    <row r="216" spans="1:8" ht="15" customHeight="1">
      <c r="A216" s="479" t="s">
        <v>900</v>
      </c>
      <c r="B216" s="478" t="s">
        <v>1218</v>
      </c>
      <c r="C216" s="159" t="s">
        <v>167</v>
      </c>
      <c r="D216" s="159" t="s">
        <v>113</v>
      </c>
      <c r="E216" s="187" t="s">
        <v>285</v>
      </c>
      <c r="F216" s="2"/>
      <c r="G216" s="187" t="str">
        <f>+VLOOKUP(Table_1[[#This Row],[Account]],BV_Data_An_Cour!$L:$Q,6,0)</f>
        <v>7-Dépenses</v>
      </c>
      <c r="H216" s="2"/>
    </row>
    <row r="217" spans="1:8" ht="15" customHeight="1">
      <c r="A217" s="170" t="s">
        <v>767</v>
      </c>
      <c r="B217" s="171" t="s">
        <v>1221</v>
      </c>
      <c r="C217" s="159" t="s">
        <v>163</v>
      </c>
      <c r="D217" s="159" t="s">
        <v>113</v>
      </c>
      <c r="E217" s="187" t="s">
        <v>285</v>
      </c>
      <c r="F217" s="2"/>
      <c r="G217" s="187" t="e">
        <f>+VLOOKUP(Table_1[[#This Row],[Account]],BV_Data_An_Cour!$L:$Q,6,0)</f>
        <v>#N/A</v>
      </c>
      <c r="H217" s="2"/>
    </row>
    <row r="218" spans="1:8" ht="15" customHeight="1">
      <c r="A218" s="479" t="s">
        <v>951</v>
      </c>
      <c r="B218" s="164" t="s">
        <v>1793</v>
      </c>
      <c r="C218" s="159" t="s">
        <v>75</v>
      </c>
      <c r="D218" s="159" t="s">
        <v>114</v>
      </c>
      <c r="E218" s="187" t="s">
        <v>285</v>
      </c>
      <c r="F218" s="2"/>
      <c r="G218" s="187" t="str">
        <f>+VLOOKUP(Table_1[[#This Row],[Account]],BV_Data_An_Cour!$L:$Q,6,0)</f>
        <v>7-Dépenses</v>
      </c>
      <c r="H218" s="2"/>
    </row>
    <row r="219" spans="1:8" ht="15" customHeight="1">
      <c r="A219" s="162" t="s">
        <v>883</v>
      </c>
      <c r="B219" s="163" t="s">
        <v>1709</v>
      </c>
      <c r="C219" s="159" t="s">
        <v>140</v>
      </c>
      <c r="D219" s="159" t="s">
        <v>114</v>
      </c>
      <c r="E219" s="187" t="s">
        <v>285</v>
      </c>
      <c r="F219" s="2"/>
      <c r="G219" s="187" t="str">
        <f>+VLOOKUP(Table_1[[#This Row],[Account]],BV_Data_An_Cour!$L:$Q,6,0)</f>
        <v>7-Dépenses</v>
      </c>
      <c r="H219" s="2"/>
    </row>
    <row r="220" spans="1:8" ht="15" customHeight="1">
      <c r="A220" s="479" t="s">
        <v>947</v>
      </c>
      <c r="B220" s="478" t="s">
        <v>1757</v>
      </c>
      <c r="C220" s="159" t="s">
        <v>147</v>
      </c>
      <c r="D220" s="159" t="s">
        <v>114</v>
      </c>
      <c r="E220" s="187" t="s">
        <v>285</v>
      </c>
      <c r="F220" s="2"/>
      <c r="G220" s="187" t="str">
        <f>+VLOOKUP(Table_1[[#This Row],[Account]],BV_Data_An_Cour!$L:$Q,6,0)</f>
        <v>7-Dépenses</v>
      </c>
      <c r="H220" s="2"/>
    </row>
    <row r="221" spans="1:8" ht="15" customHeight="1">
      <c r="A221" s="474" t="s">
        <v>902</v>
      </c>
      <c r="B221" s="482" t="s">
        <v>1745</v>
      </c>
      <c r="C221" s="159" t="s">
        <v>167</v>
      </c>
      <c r="D221" s="159" t="s">
        <v>114</v>
      </c>
      <c r="E221" s="187" t="s">
        <v>285</v>
      </c>
      <c r="F221" s="2"/>
      <c r="G221" s="187" t="str">
        <f>+VLOOKUP(Table_1[[#This Row],[Account]],BV_Data_An_Cour!$L:$Q,6,0)</f>
        <v>7-Dépenses</v>
      </c>
      <c r="H221" s="2"/>
    </row>
    <row r="222" spans="1:8" ht="15" customHeight="1">
      <c r="A222" s="477" t="s">
        <v>832</v>
      </c>
      <c r="B222" s="481" t="s">
        <v>1656</v>
      </c>
      <c r="C222" s="159" t="s">
        <v>163</v>
      </c>
      <c r="D222" s="159" t="s">
        <v>114</v>
      </c>
      <c r="E222" s="187" t="s">
        <v>285</v>
      </c>
      <c r="F222" s="2"/>
      <c r="G222" s="187" t="e">
        <f>+VLOOKUP(Table_1[[#This Row],[Account]],BV_Data_An_Cour!$L:$Q,6,0)</f>
        <v>#N/A</v>
      </c>
      <c r="H222" s="2"/>
    </row>
    <row r="223" spans="1:8" ht="15" customHeight="1">
      <c r="A223" s="1190" t="s">
        <v>1884</v>
      </c>
      <c r="B223" s="478" t="s">
        <v>1883</v>
      </c>
      <c r="C223" s="159" t="s">
        <v>272</v>
      </c>
      <c r="D223" s="159" t="s">
        <v>12</v>
      </c>
      <c r="E223" s="187" t="s">
        <v>285</v>
      </c>
      <c r="F223" s="2"/>
      <c r="G223" s="187" t="e">
        <f>+VLOOKUP(Table_1[[#This Row],[Account]],BV_Data_An_Cour!$L:$Q,6,0)</f>
        <v>#N/A</v>
      </c>
      <c r="H223" s="2"/>
    </row>
    <row r="224" spans="1:8" ht="15" customHeight="1">
      <c r="A224" s="165" t="s">
        <v>955</v>
      </c>
      <c r="B224" s="164" t="s">
        <v>1781</v>
      </c>
      <c r="C224" s="159" t="s">
        <v>147</v>
      </c>
      <c r="D224" s="159" t="s">
        <v>112</v>
      </c>
      <c r="E224" s="187" t="s">
        <v>285</v>
      </c>
      <c r="F224" s="2"/>
      <c r="G224" s="187" t="str">
        <f>+VLOOKUP(Table_1[[#This Row],[Account]],BV_Data_An_Cour!$L:$Q,6,0)</f>
        <v>7-Dépenses</v>
      </c>
      <c r="H224" s="2"/>
    </row>
    <row r="225" spans="1:8" ht="15" customHeight="1">
      <c r="A225" s="474" t="s">
        <v>956</v>
      </c>
      <c r="B225" s="482" t="s">
        <v>1796</v>
      </c>
      <c r="C225" s="159" t="s">
        <v>147</v>
      </c>
      <c r="D225" s="159" t="s">
        <v>112</v>
      </c>
      <c r="E225" s="187" t="s">
        <v>285</v>
      </c>
      <c r="F225" s="2"/>
      <c r="G225" s="187" t="e">
        <f>+VLOOKUP(Table_1[[#This Row],[Account]],BV_Data_An_Cour!$L:$Q,6,0)</f>
        <v>#N/A</v>
      </c>
      <c r="H225" s="2"/>
    </row>
    <row r="226" spans="1:8" ht="15" customHeight="1">
      <c r="A226" s="170" t="s">
        <v>446</v>
      </c>
      <c r="B226" s="171" t="s">
        <v>1821</v>
      </c>
      <c r="C226" s="159" t="s">
        <v>272</v>
      </c>
      <c r="D226" s="159" t="s">
        <v>43</v>
      </c>
      <c r="E226" s="187" t="s">
        <v>285</v>
      </c>
      <c r="F226" s="2"/>
      <c r="G226" s="187" t="e">
        <f>+VLOOKUP(Table_1[[#This Row],[Account]],BV_Data_An_Cour!$L:$Q,6,0)</f>
        <v>#N/A</v>
      </c>
      <c r="H226" s="2"/>
    </row>
    <row r="227" spans="1:8" ht="15" customHeight="1">
      <c r="A227" s="481" t="s">
        <v>1780</v>
      </c>
      <c r="B227" s="481" t="s">
        <v>1779</v>
      </c>
      <c r="C227" s="159" t="s">
        <v>272</v>
      </c>
      <c r="D227" s="159" t="s">
        <v>26</v>
      </c>
      <c r="E227" s="187" t="s">
        <v>285</v>
      </c>
      <c r="F227" s="187"/>
      <c r="G227" s="187" t="str">
        <f>+VLOOKUP(Table_1[[#This Row],[Account]],BV_Data_An_Cour!$L:$Q,6,0)</f>
        <v>2-Actifs</v>
      </c>
      <c r="H227" s="2"/>
    </row>
    <row r="228" spans="1:8" ht="15" customHeight="1">
      <c r="A228" s="165" t="s">
        <v>1812</v>
      </c>
      <c r="B228" s="164" t="s">
        <v>1811</v>
      </c>
      <c r="C228" s="159" t="s">
        <v>272</v>
      </c>
      <c r="D228" s="159" t="s">
        <v>43</v>
      </c>
      <c r="E228" s="187" t="s">
        <v>285</v>
      </c>
      <c r="F228" s="2"/>
      <c r="G228" s="187" t="str">
        <f>+VLOOKUP(Table_1[[#This Row],[Account]],BV_Data_An_Cour!$L:$Q,6,0)</f>
        <v>2-Actifs</v>
      </c>
      <c r="H228" s="2"/>
    </row>
    <row r="229" spans="1:8" ht="15" customHeight="1">
      <c r="A229" s="170" t="s">
        <v>387</v>
      </c>
      <c r="B229" s="171" t="s">
        <v>1097</v>
      </c>
      <c r="C229" s="159" t="s">
        <v>272</v>
      </c>
      <c r="D229" s="159" t="s">
        <v>43</v>
      </c>
      <c r="E229" s="187" t="s">
        <v>285</v>
      </c>
      <c r="F229" s="2"/>
      <c r="G229" s="187" t="e">
        <f>+VLOOKUP(Table_1[[#This Row],[Account]],BV_Data_An_Cour!$L:$Q,6,0)</f>
        <v>#N/A</v>
      </c>
      <c r="H229" s="2"/>
    </row>
    <row r="230" spans="1:8" ht="15" customHeight="1">
      <c r="A230" s="475" t="s">
        <v>386</v>
      </c>
      <c r="B230" s="480" t="s">
        <v>940</v>
      </c>
      <c r="C230" s="159" t="s">
        <v>272</v>
      </c>
      <c r="D230" s="159" t="s">
        <v>43</v>
      </c>
      <c r="E230" s="187" t="s">
        <v>285</v>
      </c>
      <c r="F230" s="2"/>
      <c r="G230" s="187" t="str">
        <f>+VLOOKUP(Table_1[[#This Row],[Account]],BV_Data_An_Cour!$L:$Q,6,0)</f>
        <v>2-Actifs</v>
      </c>
      <c r="H230" s="2"/>
    </row>
    <row r="231" spans="1:8" ht="15" customHeight="1">
      <c r="A231" s="479" t="s">
        <v>1007</v>
      </c>
      <c r="B231" s="478" t="s">
        <v>1881</v>
      </c>
      <c r="C231" s="159" t="s">
        <v>272</v>
      </c>
      <c r="D231" s="159" t="s">
        <v>43</v>
      </c>
      <c r="E231" s="187" t="s">
        <v>285</v>
      </c>
      <c r="F231" s="2"/>
      <c r="G231" s="187" t="e">
        <f>+VLOOKUP(Table_1[[#This Row],[Account]],BV_Data_An_Cour!$L:$Q,6,0)</f>
        <v>#N/A</v>
      </c>
      <c r="H231" s="2"/>
    </row>
    <row r="232" spans="1:8" ht="15" customHeight="1">
      <c r="A232" s="479" t="s">
        <v>596</v>
      </c>
      <c r="B232" s="478" t="s">
        <v>1823</v>
      </c>
      <c r="C232" s="159" t="s">
        <v>272</v>
      </c>
      <c r="D232" s="159" t="s">
        <v>43</v>
      </c>
      <c r="E232" s="187" t="s">
        <v>285</v>
      </c>
      <c r="F232" s="2"/>
      <c r="G232" s="187" t="e">
        <f>+VLOOKUP(Table_1[[#This Row],[Account]],BV_Data_An_Cour!$L:$Q,6,0)</f>
        <v>#N/A</v>
      </c>
      <c r="H232" s="2"/>
    </row>
    <row r="233" spans="1:8" ht="15" customHeight="1">
      <c r="A233" s="162" t="s">
        <v>442</v>
      </c>
      <c r="B233" s="163" t="s">
        <v>1802</v>
      </c>
      <c r="C233" s="159" t="s">
        <v>272</v>
      </c>
      <c r="D233" s="159" t="s">
        <v>43</v>
      </c>
      <c r="E233" s="187" t="s">
        <v>285</v>
      </c>
      <c r="F233" s="2"/>
      <c r="G233" s="187" t="e">
        <f>+VLOOKUP(Table_1[[#This Row],[Account]],BV_Data_An_Cour!$L:$Q,6,0)</f>
        <v>#N/A</v>
      </c>
      <c r="H233" s="2"/>
    </row>
    <row r="234" spans="1:8" ht="15" customHeight="1">
      <c r="A234" s="479" t="s">
        <v>1888</v>
      </c>
      <c r="B234" s="478" t="s">
        <v>1887</v>
      </c>
      <c r="C234" s="159" t="s">
        <v>272</v>
      </c>
      <c r="D234" s="159" t="s">
        <v>43</v>
      </c>
      <c r="E234" s="187" t="s">
        <v>285</v>
      </c>
      <c r="F234" s="2"/>
      <c r="G234" s="187" t="e">
        <f>+VLOOKUP(Table_1[[#This Row],[Account]],BV_Data_An_Cour!$L:$Q,6,0)</f>
        <v>#N/A</v>
      </c>
      <c r="H234" s="2"/>
    </row>
    <row r="235" spans="1:8" ht="15" customHeight="1">
      <c r="A235" s="474" t="s">
        <v>1009</v>
      </c>
      <c r="B235" s="482" t="s">
        <v>1748</v>
      </c>
      <c r="C235" s="159" t="s">
        <v>272</v>
      </c>
      <c r="D235" s="159" t="s">
        <v>43</v>
      </c>
      <c r="E235" s="187" t="s">
        <v>285</v>
      </c>
      <c r="F235" s="187"/>
      <c r="G235" s="187" t="str">
        <f>+VLOOKUP(Table_1[[#This Row],[Account]],BV_Data_An_Cour!$L:$Q,6,0)</f>
        <v>2-Actifs</v>
      </c>
      <c r="H235" s="2"/>
    </row>
    <row r="236" spans="1:8" ht="15" customHeight="1">
      <c r="A236" s="475" t="s">
        <v>598</v>
      </c>
      <c r="B236" s="480" t="s">
        <v>597</v>
      </c>
      <c r="C236" s="159" t="s">
        <v>272</v>
      </c>
      <c r="D236" s="159" t="s">
        <v>43</v>
      </c>
      <c r="E236" s="187" t="s">
        <v>285</v>
      </c>
      <c r="F236" s="2"/>
      <c r="G236" s="187" t="e">
        <f>+VLOOKUP(Table_1[[#This Row],[Account]],BV_Data_An_Cour!$L:$Q,6,0)</f>
        <v>#N/A</v>
      </c>
      <c r="H236" s="2"/>
    </row>
    <row r="237" spans="1:8" ht="15" customHeight="1">
      <c r="A237" s="479" t="s">
        <v>452</v>
      </c>
      <c r="B237" s="478" t="s">
        <v>1860</v>
      </c>
      <c r="C237" s="159" t="s">
        <v>272</v>
      </c>
      <c r="D237" s="159" t="s">
        <v>43</v>
      </c>
      <c r="E237" s="187" t="s">
        <v>285</v>
      </c>
      <c r="F237" s="2"/>
      <c r="G237" s="187" t="e">
        <f>+VLOOKUP(Table_1[[#This Row],[Account]],BV_Data_An_Cour!$L:$Q,6,0)</f>
        <v>#N/A</v>
      </c>
      <c r="H237" s="2"/>
    </row>
    <row r="238" spans="1:8" ht="15" customHeight="1">
      <c r="A238" s="478" t="s">
        <v>2124</v>
      </c>
      <c r="B238" s="478" t="s">
        <v>2123</v>
      </c>
      <c r="C238" s="159" t="s">
        <v>272</v>
      </c>
      <c r="D238" s="468" t="s">
        <v>25</v>
      </c>
      <c r="E238" s="187" t="s">
        <v>285</v>
      </c>
      <c r="F238" s="2"/>
      <c r="G238" s="187" t="e">
        <f>+VLOOKUP(Table_1[[#This Row],[Account]],BV_Data_An_Cour!$L:$Q,6,0)</f>
        <v>#N/A</v>
      </c>
      <c r="H238" s="2"/>
    </row>
    <row r="239" spans="1:8" ht="15" customHeight="1">
      <c r="A239" s="478" t="s">
        <v>1942</v>
      </c>
      <c r="B239" s="478" t="s">
        <v>1941</v>
      </c>
      <c r="C239" s="159" t="s">
        <v>272</v>
      </c>
      <c r="D239" s="468" t="s">
        <v>24</v>
      </c>
      <c r="E239" s="187" t="s">
        <v>285</v>
      </c>
      <c r="F239" s="2"/>
      <c r="G239" s="187" t="e">
        <f>+VLOOKUP(Table_1[[#This Row],[Account]],BV_Data_An_Cour!$L:$Q,6,0)</f>
        <v>#N/A</v>
      </c>
      <c r="H239" s="2"/>
    </row>
    <row r="240" spans="1:8" ht="15" customHeight="1">
      <c r="A240" s="475" t="s">
        <v>406</v>
      </c>
      <c r="B240" s="480" t="s">
        <v>405</v>
      </c>
      <c r="C240" s="159" t="s">
        <v>272</v>
      </c>
      <c r="D240" s="159" t="s">
        <v>43</v>
      </c>
      <c r="E240" s="187" t="s">
        <v>285</v>
      </c>
      <c r="F240" s="2"/>
      <c r="G240" s="187" t="str">
        <f>+VLOOKUP(Table_1[[#This Row],[Account]],BV_Data_An_Cour!$L:$Q,6,0)</f>
        <v>2-Actifs</v>
      </c>
      <c r="H240" s="2"/>
    </row>
    <row r="241" spans="1:8" ht="15" customHeight="1">
      <c r="A241" s="477" t="s">
        <v>599</v>
      </c>
      <c r="B241" s="481" t="s">
        <v>1813</v>
      </c>
      <c r="C241" s="159" t="s">
        <v>272</v>
      </c>
      <c r="D241" s="159" t="s">
        <v>43</v>
      </c>
      <c r="E241" s="187" t="s">
        <v>285</v>
      </c>
      <c r="F241" s="2"/>
      <c r="G241" s="187" t="e">
        <f>+VLOOKUP(Table_1[[#This Row],[Account]],BV_Data_An_Cour!$L:$Q,6,0)</f>
        <v>#N/A</v>
      </c>
      <c r="H241" s="2"/>
    </row>
    <row r="242" spans="1:8" ht="15" customHeight="1">
      <c r="A242" s="479" t="s">
        <v>1008</v>
      </c>
      <c r="B242" s="478" t="s">
        <v>1882</v>
      </c>
      <c r="C242" s="159" t="s">
        <v>272</v>
      </c>
      <c r="D242" s="159" t="s">
        <v>43</v>
      </c>
      <c r="E242" s="187" t="s">
        <v>285</v>
      </c>
      <c r="F242" s="2"/>
      <c r="G242" s="187" t="e">
        <f>+VLOOKUP(Table_1[[#This Row],[Account]],BV_Data_An_Cour!$L:$Q,6,0)</f>
        <v>#N/A</v>
      </c>
      <c r="H242" s="2"/>
    </row>
    <row r="243" spans="1:8" ht="15" customHeight="1">
      <c r="A243" s="162" t="s">
        <v>1944</v>
      </c>
      <c r="B243" s="163" t="s">
        <v>1943</v>
      </c>
      <c r="C243" s="159" t="s">
        <v>272</v>
      </c>
      <c r="D243" s="468" t="s">
        <v>43</v>
      </c>
      <c r="E243" s="187" t="s">
        <v>285</v>
      </c>
      <c r="F243" s="2"/>
      <c r="G243" s="187" t="e">
        <f>+VLOOKUP(Table_1[[#This Row],[Account]],BV_Data_An_Cour!$L:$Q,6,0)</f>
        <v>#N/A</v>
      </c>
      <c r="H243" s="2"/>
    </row>
    <row r="244" spans="1:8" ht="15" customHeight="1">
      <c r="A244" s="479" t="s">
        <v>2940</v>
      </c>
      <c r="B244" s="480" t="s">
        <v>2939</v>
      </c>
      <c r="C244" s="159" t="s">
        <v>272</v>
      </c>
      <c r="D244" s="159" t="s">
        <v>43</v>
      </c>
      <c r="E244" s="187" t="s">
        <v>285</v>
      </c>
      <c r="F244" s="160"/>
      <c r="G244" s="493"/>
      <c r="H244" s="2"/>
    </row>
    <row r="245" spans="1:8" ht="15" customHeight="1">
      <c r="A245" s="474" t="s">
        <v>914</v>
      </c>
      <c r="B245" s="733" t="s">
        <v>1795</v>
      </c>
      <c r="C245" s="159" t="s">
        <v>75</v>
      </c>
      <c r="D245" s="159" t="s">
        <v>115</v>
      </c>
      <c r="E245" s="187" t="s">
        <v>285</v>
      </c>
      <c r="F245" s="160"/>
      <c r="G245" s="187" t="str">
        <f>+VLOOKUP(Table_1[[#This Row],[Account]],BV_Data_An_Cour!$L:$Q,6,0)</f>
        <v>7-Dépenses</v>
      </c>
      <c r="H245" s="2"/>
    </row>
    <row r="246" spans="1:8" ht="15" customHeight="1">
      <c r="A246" s="479" t="s">
        <v>852</v>
      </c>
      <c r="B246" s="478" t="s">
        <v>1712</v>
      </c>
      <c r="C246" s="159" t="s">
        <v>140</v>
      </c>
      <c r="D246" s="159" t="s">
        <v>115</v>
      </c>
      <c r="E246" s="187" t="s">
        <v>285</v>
      </c>
      <c r="F246" s="2"/>
      <c r="G246" s="187" t="str">
        <f>+VLOOKUP(Table_1[[#This Row],[Account]],BV_Data_An_Cour!$L:$Q,6,0)</f>
        <v>7-Dépenses</v>
      </c>
      <c r="H246" s="2"/>
    </row>
    <row r="247" spans="1:8" ht="15" customHeight="1">
      <c r="A247" s="165" t="s">
        <v>948</v>
      </c>
      <c r="B247" s="164" t="s">
        <v>1758</v>
      </c>
      <c r="C247" s="159" t="s">
        <v>147</v>
      </c>
      <c r="D247" s="159" t="s">
        <v>115</v>
      </c>
      <c r="E247" s="187" t="s">
        <v>285</v>
      </c>
      <c r="F247" s="2"/>
      <c r="G247" s="187" t="str">
        <f>+VLOOKUP(Table_1[[#This Row],[Account]],BV_Data_An_Cour!$L:$Q,6,0)</f>
        <v>7-Dépenses</v>
      </c>
      <c r="H247" s="2"/>
    </row>
    <row r="248" spans="1:8" ht="15" customHeight="1">
      <c r="A248" s="479" t="s">
        <v>904</v>
      </c>
      <c r="B248" s="478" t="s">
        <v>1749</v>
      </c>
      <c r="C248" s="159" t="s">
        <v>167</v>
      </c>
      <c r="D248" s="159" t="s">
        <v>115</v>
      </c>
      <c r="E248" s="187" t="s">
        <v>285</v>
      </c>
      <c r="F248" s="2"/>
      <c r="G248" s="187" t="str">
        <f>+VLOOKUP(Table_1[[#This Row],[Account]],BV_Data_An_Cour!$L:$Q,6,0)</f>
        <v>7-Dépenses</v>
      </c>
      <c r="H248" s="2"/>
    </row>
    <row r="249" spans="1:8" ht="15" customHeight="1">
      <c r="A249" s="170" t="s">
        <v>813</v>
      </c>
      <c r="B249" s="171" t="s">
        <v>1657</v>
      </c>
      <c r="C249" s="159" t="s">
        <v>163</v>
      </c>
      <c r="D249" s="159" t="s">
        <v>115</v>
      </c>
      <c r="E249" s="187" t="s">
        <v>285</v>
      </c>
      <c r="F249" s="2"/>
      <c r="G249" s="187" t="e">
        <f>+VLOOKUP(Table_1[[#This Row],[Account]],BV_Data_An_Cour!$L:$Q,6,0)</f>
        <v>#N/A</v>
      </c>
      <c r="H249" s="2"/>
    </row>
    <row r="250" spans="1:8" ht="15" customHeight="1">
      <c r="A250" s="479" t="s">
        <v>2230</v>
      </c>
      <c r="B250" s="480" t="s">
        <v>2216</v>
      </c>
      <c r="C250" s="159" t="s">
        <v>272</v>
      </c>
      <c r="D250" s="159" t="s">
        <v>53</v>
      </c>
      <c r="E250" s="187" t="s">
        <v>285</v>
      </c>
      <c r="F250" s="160"/>
      <c r="G250" s="493"/>
      <c r="H250" s="2"/>
    </row>
    <row r="251" spans="1:8" ht="15" customHeight="1">
      <c r="A251" s="479" t="s">
        <v>388</v>
      </c>
      <c r="B251" s="478" t="s">
        <v>1184</v>
      </c>
      <c r="C251" s="159" t="s">
        <v>272</v>
      </c>
      <c r="D251" s="159" t="s">
        <v>57</v>
      </c>
      <c r="E251" s="187" t="s">
        <v>285</v>
      </c>
      <c r="F251" s="2"/>
      <c r="G251" s="187" t="str">
        <f>+VLOOKUP(Table_1[[#This Row],[Account]],BV_Data_An_Cour!$L:$Q,6,0)</f>
        <v>2-Actifs</v>
      </c>
      <c r="H251" s="2"/>
    </row>
    <row r="252" spans="1:8" ht="15" customHeight="1">
      <c r="A252" s="475" t="s">
        <v>381</v>
      </c>
      <c r="B252" s="480" t="s">
        <v>1356</v>
      </c>
      <c r="C252" s="159" t="s">
        <v>272</v>
      </c>
      <c r="D252" s="159" t="s">
        <v>57</v>
      </c>
      <c r="E252" s="187" t="s">
        <v>285</v>
      </c>
      <c r="F252" s="187"/>
      <c r="G252" s="187" t="str">
        <f>+VLOOKUP(Table_1[[#This Row],[Account]],BV_Data_An_Cour!$L:$Q,6,0)</f>
        <v>2-Actifs</v>
      </c>
      <c r="H252" s="2"/>
    </row>
    <row r="253" spans="1:8" ht="15" customHeight="1">
      <c r="A253" s="1200" t="s">
        <v>1358</v>
      </c>
      <c r="B253" s="173" t="s">
        <v>1357</v>
      </c>
      <c r="C253" s="159" t="s">
        <v>272</v>
      </c>
      <c r="D253" s="159" t="s">
        <v>58</v>
      </c>
      <c r="E253" s="187" t="s">
        <v>285</v>
      </c>
      <c r="F253" s="2"/>
      <c r="G253" s="187" t="str">
        <f>+VLOOKUP(Table_1[[#This Row],[Account]],BV_Data_An_Cour!$L:$Q,6,0)</f>
        <v>2-Actifs</v>
      </c>
      <c r="H253" s="2"/>
    </row>
    <row r="254" spans="1:8" ht="15" customHeight="1">
      <c r="A254" s="732" t="s">
        <v>1360</v>
      </c>
      <c r="B254" s="171" t="s">
        <v>1359</v>
      </c>
      <c r="C254" s="159" t="s">
        <v>272</v>
      </c>
      <c r="D254" s="159" t="s">
        <v>62</v>
      </c>
      <c r="E254" s="187" t="s">
        <v>285</v>
      </c>
      <c r="F254" s="2"/>
      <c r="G254" s="187" t="str">
        <f>+VLOOKUP(Table_1[[#This Row],[Account]],BV_Data_An_Cour!$L:$Q,6,0)</f>
        <v>2-Actifs</v>
      </c>
      <c r="H254" s="2"/>
    </row>
    <row r="255" spans="1:8" ht="15" customHeight="1">
      <c r="A255" s="1200" t="s">
        <v>1362</v>
      </c>
      <c r="B255" s="480" t="s">
        <v>1361</v>
      </c>
      <c r="C255" s="159" t="s">
        <v>272</v>
      </c>
      <c r="D255" s="159" t="s">
        <v>59</v>
      </c>
      <c r="E255" s="187" t="s">
        <v>285</v>
      </c>
      <c r="F255" s="187"/>
      <c r="G255" s="187" t="str">
        <f>+VLOOKUP(Table_1[[#This Row],[Account]],BV_Data_An_Cour!$L:$Q,6,0)</f>
        <v>2-Actifs</v>
      </c>
      <c r="H255" s="2"/>
    </row>
    <row r="256" spans="1:8" ht="15" customHeight="1">
      <c r="A256" s="1200" t="s">
        <v>1364</v>
      </c>
      <c r="B256" s="480" t="s">
        <v>1363</v>
      </c>
      <c r="C256" s="159" t="s">
        <v>272</v>
      </c>
      <c r="D256" s="159" t="s">
        <v>60</v>
      </c>
      <c r="E256" s="187" t="s">
        <v>285</v>
      </c>
      <c r="F256" s="2"/>
      <c r="G256" s="187" t="e">
        <f>+VLOOKUP(Table_1[[#This Row],[Account]],BV_Data_An_Cour!$L:$Q,6,0)</f>
        <v>#N/A</v>
      </c>
      <c r="H256" s="2"/>
    </row>
    <row r="257" spans="1:8" ht="15" customHeight="1">
      <c r="A257" s="1200" t="s">
        <v>376</v>
      </c>
      <c r="B257" s="173" t="s">
        <v>1365</v>
      </c>
      <c r="C257" s="159" t="s">
        <v>272</v>
      </c>
      <c r="D257" s="159" t="s">
        <v>57</v>
      </c>
      <c r="E257" s="187" t="s">
        <v>285</v>
      </c>
      <c r="F257" s="187"/>
      <c r="G257" s="187" t="e">
        <f>+VLOOKUP(Table_1[[#This Row],[Account]],BV_Data_An_Cour!$L:$Q,6,0)</f>
        <v>#N/A</v>
      </c>
      <c r="H257" s="2"/>
    </row>
    <row r="258" spans="1:8" ht="15" customHeight="1">
      <c r="A258" s="163" t="s">
        <v>600</v>
      </c>
      <c r="B258" s="163" t="s">
        <v>1020</v>
      </c>
      <c r="C258" s="159" t="s">
        <v>272</v>
      </c>
      <c r="D258" s="159" t="s">
        <v>53</v>
      </c>
      <c r="E258" s="187" t="s">
        <v>285</v>
      </c>
      <c r="F258" s="2"/>
      <c r="G258" s="187" t="e">
        <f>+VLOOKUP(Table_1[[#This Row],[Account]],BV_Data_An_Cour!$L:$Q,6,0)</f>
        <v>#N/A</v>
      </c>
      <c r="H258" s="2"/>
    </row>
    <row r="259" spans="1:8" ht="15" customHeight="1">
      <c r="A259" s="157" t="s">
        <v>1022</v>
      </c>
      <c r="B259" s="158" t="s">
        <v>1021</v>
      </c>
      <c r="C259" s="159" t="s">
        <v>272</v>
      </c>
      <c r="D259" s="159" t="s">
        <v>25</v>
      </c>
      <c r="E259" s="187" t="s">
        <v>285</v>
      </c>
      <c r="F259" s="2"/>
      <c r="G259" s="187" t="e">
        <f>+VLOOKUP(Table_1[[#This Row],[Account]],BV_Data_An_Cour!$L:$Q,6,0)</f>
        <v>#N/A</v>
      </c>
      <c r="H259" s="2"/>
    </row>
    <row r="260" spans="1:8" ht="15" customHeight="1">
      <c r="A260" s="479" t="s">
        <v>1367</v>
      </c>
      <c r="B260" s="478" t="s">
        <v>1366</v>
      </c>
      <c r="C260" s="159" t="s">
        <v>272</v>
      </c>
      <c r="D260" s="159" t="s">
        <v>66</v>
      </c>
      <c r="E260" s="187" t="s">
        <v>285</v>
      </c>
      <c r="F260" s="2"/>
      <c r="G260" s="187" t="str">
        <f>+VLOOKUP(Table_1[[#This Row],[Account]],BV_Data_An_Cour!$L:$Q,6,0)</f>
        <v>2-Actifs</v>
      </c>
      <c r="H260" s="2"/>
    </row>
    <row r="261" spans="1:8" ht="15" customHeight="1">
      <c r="A261" s="479" t="s">
        <v>2492</v>
      </c>
      <c r="B261" s="480" t="s">
        <v>2491</v>
      </c>
      <c r="C261" s="159" t="s">
        <v>272</v>
      </c>
      <c r="D261" s="159" t="s">
        <v>65</v>
      </c>
      <c r="E261" s="187" t="s">
        <v>285</v>
      </c>
      <c r="F261" s="160"/>
      <c r="G261" s="493"/>
      <c r="H261" s="2"/>
    </row>
    <row r="262" spans="1:8" ht="15" customHeight="1">
      <c r="A262" s="479" t="s">
        <v>859</v>
      </c>
      <c r="B262" s="478" t="s">
        <v>1786</v>
      </c>
      <c r="C262" s="159" t="s">
        <v>75</v>
      </c>
      <c r="D262" s="159" t="s">
        <v>1891</v>
      </c>
      <c r="E262" s="187" t="s">
        <v>285</v>
      </c>
      <c r="F262" s="2"/>
      <c r="G262" s="187" t="str">
        <f>+VLOOKUP(Table_1[[#This Row],[Account]],BV_Data_An_Cour!$L:$Q,6,0)</f>
        <v>7-Dépenses</v>
      </c>
      <c r="H262" s="2"/>
    </row>
    <row r="263" spans="1:8" ht="15" customHeight="1">
      <c r="A263" s="170" t="s">
        <v>815</v>
      </c>
      <c r="B263" s="171" t="s">
        <v>1702</v>
      </c>
      <c r="C263" s="159" t="s">
        <v>140</v>
      </c>
      <c r="D263" s="159" t="s">
        <v>1891</v>
      </c>
      <c r="E263" s="187" t="s">
        <v>285</v>
      </c>
      <c r="F263" s="2"/>
      <c r="G263" s="187" t="str">
        <f>+VLOOKUP(Table_1[[#This Row],[Account]],BV_Data_An_Cour!$L:$Q,6,0)</f>
        <v>7-Dépenses</v>
      </c>
      <c r="H263" s="2"/>
    </row>
    <row r="264" spans="1:8" ht="15" customHeight="1">
      <c r="A264" s="165" t="s">
        <v>838</v>
      </c>
      <c r="B264" s="164" t="s">
        <v>1744</v>
      </c>
      <c r="C264" s="159" t="s">
        <v>147</v>
      </c>
      <c r="D264" s="159" t="s">
        <v>1891</v>
      </c>
      <c r="E264" s="187" t="s">
        <v>285</v>
      </c>
      <c r="F264" s="2"/>
      <c r="G264" s="187" t="str">
        <f>+VLOOKUP(Table_1[[#This Row],[Account]],BV_Data_An_Cour!$L:$Q,6,0)</f>
        <v>7-Dépenses</v>
      </c>
      <c r="H264" s="2"/>
    </row>
    <row r="265" spans="1:8" ht="15" customHeight="1">
      <c r="A265" s="165" t="s">
        <v>830</v>
      </c>
      <c r="B265" s="164" t="s">
        <v>1739</v>
      </c>
      <c r="C265" s="159" t="s">
        <v>167</v>
      </c>
      <c r="D265" s="159" t="s">
        <v>1891</v>
      </c>
      <c r="E265" s="187" t="s">
        <v>285</v>
      </c>
      <c r="F265" s="2"/>
      <c r="G265" s="187" t="str">
        <f>+VLOOKUP(Table_1[[#This Row],[Account]],BV_Data_An_Cour!$L:$Q,6,0)</f>
        <v>7-Dépenses</v>
      </c>
      <c r="H265" s="2"/>
    </row>
    <row r="266" spans="1:8" ht="15" customHeight="1">
      <c r="A266" s="170" t="s">
        <v>783</v>
      </c>
      <c r="B266" s="171" t="s">
        <v>1651</v>
      </c>
      <c r="C266" s="159" t="s">
        <v>163</v>
      </c>
      <c r="D266" s="159" t="s">
        <v>1891</v>
      </c>
      <c r="E266" s="187" t="s">
        <v>285</v>
      </c>
      <c r="F266" s="2"/>
      <c r="G266" s="187" t="e">
        <f>+VLOOKUP(Table_1[[#This Row],[Account]],BV_Data_An_Cour!$L:$Q,6,0)</f>
        <v>#N/A</v>
      </c>
      <c r="H266" s="2"/>
    </row>
    <row r="267" spans="1:8" ht="15" customHeight="1">
      <c r="A267" s="165" t="s">
        <v>354</v>
      </c>
      <c r="B267" s="164" t="s">
        <v>1846</v>
      </c>
      <c r="C267" s="159" t="s">
        <v>272</v>
      </c>
      <c r="D267" s="159" t="s">
        <v>16</v>
      </c>
      <c r="E267" s="187" t="s">
        <v>285</v>
      </c>
      <c r="F267" s="2"/>
      <c r="G267" s="187" t="str">
        <f>+VLOOKUP(Table_1[[#This Row],[Account]],BV_Data_An_Cour!$L:$Q,6,0)</f>
        <v>3-Passifs</v>
      </c>
      <c r="H267" s="2"/>
    </row>
    <row r="268" spans="1:8" ht="15" customHeight="1">
      <c r="A268" s="162" t="s">
        <v>984</v>
      </c>
      <c r="B268" s="163" t="s">
        <v>1855</v>
      </c>
      <c r="C268" s="159" t="s">
        <v>272</v>
      </c>
      <c r="D268" s="159" t="s">
        <v>26</v>
      </c>
      <c r="E268" s="187" t="s">
        <v>285</v>
      </c>
      <c r="F268" s="2"/>
      <c r="G268" s="187" t="e">
        <f>+VLOOKUP(Table_1[[#This Row],[Account]],BV_Data_An_Cour!$L:$Q,6,0)</f>
        <v>#N/A</v>
      </c>
      <c r="H268" s="2"/>
    </row>
    <row r="269" spans="1:8" ht="15" customHeight="1">
      <c r="A269" s="162" t="s">
        <v>957</v>
      </c>
      <c r="B269" s="163" t="s">
        <v>1835</v>
      </c>
      <c r="C269" s="159" t="s">
        <v>272</v>
      </c>
      <c r="D269" s="159" t="s">
        <v>26</v>
      </c>
      <c r="E269" s="187" t="s">
        <v>285</v>
      </c>
      <c r="F269" s="2"/>
      <c r="G269" s="187" t="str">
        <f>+VLOOKUP(Table_1[[#This Row],[Account]],BV_Data_An_Cour!$L:$Q,6,0)</f>
        <v>3-Passifs</v>
      </c>
      <c r="H269" s="2"/>
    </row>
    <row r="270" spans="1:8" ht="15" customHeight="1">
      <c r="A270" s="479" t="s">
        <v>1929</v>
      </c>
      <c r="B270" s="478" t="s">
        <v>1928</v>
      </c>
      <c r="C270" s="159" t="s">
        <v>272</v>
      </c>
      <c r="D270" s="159" t="s">
        <v>26</v>
      </c>
      <c r="E270" s="187" t="s">
        <v>285</v>
      </c>
      <c r="F270" s="2"/>
      <c r="G270" s="187" t="e">
        <f>+VLOOKUP(Table_1[[#This Row],[Account]],BV_Data_An_Cour!$L:$Q,6,0)</f>
        <v>#N/A</v>
      </c>
      <c r="H270" s="2"/>
    </row>
    <row r="271" spans="1:8" ht="15" customHeight="1">
      <c r="A271" s="162" t="s">
        <v>1017</v>
      </c>
      <c r="B271" s="163" t="s">
        <v>1685</v>
      </c>
      <c r="C271" s="159" t="s">
        <v>272</v>
      </c>
      <c r="D271" s="159" t="s">
        <v>26</v>
      </c>
      <c r="E271" s="187" t="s">
        <v>285</v>
      </c>
      <c r="F271" s="2"/>
      <c r="G271" s="187" t="str">
        <f>+VLOOKUP(Table_1[[#This Row],[Account]],BV_Data_An_Cour!$L:$Q,6,0)</f>
        <v>3-Passifs</v>
      </c>
      <c r="H271" s="2"/>
    </row>
    <row r="272" spans="1:8" ht="15" customHeight="1">
      <c r="A272" s="474" t="s">
        <v>862</v>
      </c>
      <c r="B272" s="482" t="s">
        <v>1220</v>
      </c>
      <c r="C272" s="159" t="s">
        <v>272</v>
      </c>
      <c r="D272" s="159" t="s">
        <v>26</v>
      </c>
      <c r="E272" s="187" t="s">
        <v>285</v>
      </c>
      <c r="F272" s="2"/>
      <c r="G272" s="187" t="e">
        <f>+VLOOKUP(Table_1[[#This Row],[Account]],BV_Data_An_Cour!$L:$Q,6,0)</f>
        <v>#N/A</v>
      </c>
      <c r="H272" s="2"/>
    </row>
    <row r="273" spans="1:8" ht="15" customHeight="1">
      <c r="A273" s="475" t="s">
        <v>934</v>
      </c>
      <c r="B273" s="480" t="s">
        <v>1814</v>
      </c>
      <c r="C273" s="159" t="s">
        <v>272</v>
      </c>
      <c r="D273" s="159" t="s">
        <v>1892</v>
      </c>
      <c r="E273" s="187" t="s">
        <v>285</v>
      </c>
      <c r="F273" s="187"/>
      <c r="G273" s="187" t="e">
        <f>+VLOOKUP(Table_1[[#This Row],[Account]],BV_Data_An_Cour!$L:$Q,6,0)</f>
        <v>#N/A</v>
      </c>
      <c r="H273" s="2"/>
    </row>
    <row r="274" spans="1:8" ht="15" customHeight="1">
      <c r="A274" s="474" t="s">
        <v>885</v>
      </c>
      <c r="B274" s="482" t="s">
        <v>1661</v>
      </c>
      <c r="C274" s="159" t="s">
        <v>272</v>
      </c>
      <c r="D274" s="159" t="s">
        <v>1892</v>
      </c>
      <c r="E274" s="187" t="s">
        <v>285</v>
      </c>
      <c r="F274" s="187"/>
      <c r="G274" s="187" t="str">
        <f>+VLOOKUP(Table_1[[#This Row],[Account]],BV_Data_An_Cour!$L:$Q,6,0)</f>
        <v>3-Passifs</v>
      </c>
      <c r="H274" s="2"/>
    </row>
    <row r="275" spans="1:8" ht="15" customHeight="1">
      <c r="A275" s="165" t="s">
        <v>459</v>
      </c>
      <c r="B275" s="164" t="s">
        <v>1185</v>
      </c>
      <c r="C275" s="159" t="s">
        <v>272</v>
      </c>
      <c r="D275" s="159" t="s">
        <v>26</v>
      </c>
      <c r="E275" s="187" t="s">
        <v>285</v>
      </c>
      <c r="F275" s="2"/>
      <c r="G275" s="187" t="str">
        <f>+VLOOKUP(Table_1[[#This Row],[Account]],BV_Data_An_Cour!$L:$Q,6,0)</f>
        <v>3-Passifs</v>
      </c>
      <c r="H275" s="2"/>
    </row>
    <row r="276" spans="1:8" ht="15" customHeight="1">
      <c r="A276" s="476" t="s">
        <v>1626</v>
      </c>
      <c r="B276" s="483" t="s">
        <v>1625</v>
      </c>
      <c r="C276" s="159" t="s">
        <v>272</v>
      </c>
      <c r="D276" s="159" t="s">
        <v>26</v>
      </c>
      <c r="E276" s="187" t="s">
        <v>285</v>
      </c>
      <c r="F276" s="187"/>
      <c r="G276" s="187" t="e">
        <f>+VLOOKUP(Table_1[[#This Row],[Account]],BV_Data_An_Cour!$L:$Q,6,0)</f>
        <v>#N/A</v>
      </c>
      <c r="H276" s="2"/>
    </row>
    <row r="277" spans="1:8" ht="15" customHeight="1">
      <c r="A277" s="162" t="s">
        <v>2231</v>
      </c>
      <c r="B277" s="158" t="s">
        <v>2232</v>
      </c>
      <c r="C277" s="159" t="s">
        <v>272</v>
      </c>
      <c r="D277" s="159" t="s">
        <v>24</v>
      </c>
      <c r="E277" s="187" t="s">
        <v>285</v>
      </c>
      <c r="F277" s="160"/>
      <c r="G277" s="493"/>
      <c r="H277" s="2"/>
    </row>
    <row r="278" spans="1:8" ht="15" customHeight="1">
      <c r="A278" s="162" t="s">
        <v>2469</v>
      </c>
      <c r="B278" s="158" t="s">
        <v>2468</v>
      </c>
      <c r="C278" s="159" t="s">
        <v>272</v>
      </c>
      <c r="D278" s="159" t="s">
        <v>24</v>
      </c>
      <c r="E278" s="187" t="s">
        <v>285</v>
      </c>
      <c r="F278" s="160"/>
      <c r="G278" s="493"/>
      <c r="H278" s="2"/>
    </row>
    <row r="279" spans="1:8" ht="15" customHeight="1">
      <c r="A279" s="162" t="s">
        <v>2199</v>
      </c>
      <c r="B279" s="158" t="s">
        <v>2198</v>
      </c>
      <c r="C279" s="159" t="s">
        <v>272</v>
      </c>
      <c r="D279" s="159" t="s">
        <v>24</v>
      </c>
      <c r="E279" s="493" t="s">
        <v>285</v>
      </c>
      <c r="F279" s="160"/>
      <c r="G279" s="187" t="e">
        <f>+VLOOKUP(Table_1[[#This Row],[Account]],BV_Data_An_Cour!$L:$Q,6,0)</f>
        <v>#N/A</v>
      </c>
      <c r="H279" s="2"/>
    </row>
    <row r="280" spans="1:8" ht="15" customHeight="1">
      <c r="A280" s="162" t="s">
        <v>2420</v>
      </c>
      <c r="B280" s="158" t="s">
        <v>2419</v>
      </c>
      <c r="C280" s="159" t="s">
        <v>272</v>
      </c>
      <c r="D280" s="159" t="s">
        <v>40</v>
      </c>
      <c r="E280" s="493"/>
      <c r="F280" s="160"/>
      <c r="G280" s="493"/>
      <c r="H280" s="2"/>
    </row>
    <row r="281" spans="1:8" ht="15" customHeight="1">
      <c r="A281" s="163" t="s">
        <v>1919</v>
      </c>
      <c r="B281" s="163" t="s">
        <v>1918</v>
      </c>
      <c r="C281" s="159" t="s">
        <v>272</v>
      </c>
      <c r="D281" s="159" t="s">
        <v>16</v>
      </c>
      <c r="E281" s="187" t="s">
        <v>285</v>
      </c>
      <c r="F281" s="2"/>
      <c r="G281" s="187" t="str">
        <f>+VLOOKUP(Table_1[[#This Row],[Account]],BV_Data_An_Cour!$L:$Q,6,0)</f>
        <v>3-Passifs</v>
      </c>
      <c r="H281" s="2"/>
    </row>
    <row r="282" spans="1:8" ht="15" customHeight="1">
      <c r="A282" s="162" t="s">
        <v>2441</v>
      </c>
      <c r="B282" s="158" t="s">
        <v>2440</v>
      </c>
      <c r="C282" s="159" t="s">
        <v>272</v>
      </c>
      <c r="D282" s="159" t="s">
        <v>16</v>
      </c>
      <c r="E282" s="493" t="s">
        <v>285</v>
      </c>
      <c r="F282" s="160"/>
      <c r="G282" s="493" t="s">
        <v>2226</v>
      </c>
      <c r="H282" s="2"/>
    </row>
    <row r="283" spans="1:8" ht="15" customHeight="1">
      <c r="A283" s="481" t="s">
        <v>377</v>
      </c>
      <c r="B283" s="481" t="s">
        <v>391</v>
      </c>
      <c r="C283" s="159" t="s">
        <v>272</v>
      </c>
      <c r="D283" s="159" t="s">
        <v>22</v>
      </c>
      <c r="E283" s="187" t="s">
        <v>285</v>
      </c>
      <c r="F283" s="187"/>
      <c r="G283" s="187" t="str">
        <f>+VLOOKUP(Table_1[[#This Row],[Account]],BV_Data_An_Cour!$L:$Q,6,0)</f>
        <v>3-Passifs</v>
      </c>
      <c r="H283" s="2"/>
    </row>
    <row r="284" spans="1:8" ht="15" customHeight="1">
      <c r="A284" s="162" t="s">
        <v>363</v>
      </c>
      <c r="B284" s="163" t="s">
        <v>1851</v>
      </c>
      <c r="C284" s="159" t="s">
        <v>272</v>
      </c>
      <c r="D284" s="159" t="s">
        <v>30</v>
      </c>
      <c r="E284" s="187" t="s">
        <v>285</v>
      </c>
      <c r="F284" s="2"/>
      <c r="G284" s="187" t="str">
        <f>+VLOOKUP(Table_1[[#This Row],[Account]],BV_Data_An_Cour!$L:$Q,6,0)</f>
        <v>3-Passifs</v>
      </c>
      <c r="H284" s="2"/>
    </row>
    <row r="285" spans="1:8" ht="15" customHeight="1">
      <c r="A285" s="479" t="s">
        <v>355</v>
      </c>
      <c r="B285" s="478" t="s">
        <v>1849</v>
      </c>
      <c r="C285" s="159" t="s">
        <v>272</v>
      </c>
      <c r="D285" s="159" t="s">
        <v>32</v>
      </c>
      <c r="E285" s="187" t="s">
        <v>285</v>
      </c>
      <c r="F285" s="2"/>
      <c r="G285" s="187" t="str">
        <f>+VLOOKUP(Table_1[[#This Row],[Account]],BV_Data_An_Cour!$L:$Q,6,0)</f>
        <v>3-Passifs</v>
      </c>
      <c r="H285" s="2"/>
    </row>
    <row r="286" spans="1:8" ht="15" customHeight="1">
      <c r="A286" s="474" t="s">
        <v>1103</v>
      </c>
      <c r="B286" s="482" t="s">
        <v>1102</v>
      </c>
      <c r="C286" s="159" t="s">
        <v>272</v>
      </c>
      <c r="D286" s="159" t="s">
        <v>26</v>
      </c>
      <c r="E286" s="187" t="s">
        <v>285</v>
      </c>
      <c r="F286" s="2"/>
      <c r="G286" s="187" t="str">
        <f>+VLOOKUP(Table_1[[#This Row],[Account]],BV_Data_An_Cour!$L:$Q,6,0)</f>
        <v>3-Passifs</v>
      </c>
      <c r="H286" s="2"/>
    </row>
    <row r="287" spans="1:8" ht="15" customHeight="1">
      <c r="A287" s="162" t="s">
        <v>1085</v>
      </c>
      <c r="B287" s="158" t="s">
        <v>1084</v>
      </c>
      <c r="C287" s="159" t="s">
        <v>272</v>
      </c>
      <c r="D287" s="159" t="s">
        <v>11</v>
      </c>
      <c r="E287" s="187" t="s">
        <v>285</v>
      </c>
      <c r="F287" s="2"/>
      <c r="G287" s="187" t="e">
        <f>+VLOOKUP(Table_1[[#This Row],[Account]],BV_Data_An_Cour!$L:$Q,6,0)</f>
        <v>#N/A</v>
      </c>
      <c r="H287" s="2"/>
    </row>
    <row r="288" spans="1:8" ht="15" customHeight="1">
      <c r="A288" s="168" t="s">
        <v>424</v>
      </c>
      <c r="B288" s="169" t="s">
        <v>361</v>
      </c>
      <c r="C288" s="159" t="s">
        <v>272</v>
      </c>
      <c r="D288" s="159" t="s">
        <v>36</v>
      </c>
      <c r="E288" s="187" t="s">
        <v>285</v>
      </c>
      <c r="F288" s="2"/>
      <c r="G288" s="187" t="str">
        <f>+VLOOKUP(Table_1[[#This Row],[Account]],BV_Data_An_Cour!$L:$Q,6,0)</f>
        <v>3-Passifs</v>
      </c>
      <c r="H288" s="2"/>
    </row>
    <row r="289" spans="1:8" ht="15" customHeight="1">
      <c r="A289" s="157" t="s">
        <v>443</v>
      </c>
      <c r="B289" s="158" t="s">
        <v>1108</v>
      </c>
      <c r="C289" s="159" t="s">
        <v>272</v>
      </c>
      <c r="D289" s="159" t="s">
        <v>36</v>
      </c>
      <c r="E289" s="187" t="s">
        <v>285</v>
      </c>
      <c r="F289" s="187"/>
      <c r="G289" s="187" t="str">
        <f>+VLOOKUP(Table_1[[#This Row],[Account]],BV_Data_An_Cour!$L:$Q,6,0)</f>
        <v>3-Passifs</v>
      </c>
      <c r="H289" s="2"/>
    </row>
    <row r="290" spans="1:8" ht="15" customHeight="1">
      <c r="A290" s="169" t="s">
        <v>919</v>
      </c>
      <c r="B290" s="169" t="s">
        <v>360</v>
      </c>
      <c r="C290" s="159" t="s">
        <v>272</v>
      </c>
      <c r="D290" s="159" t="s">
        <v>36</v>
      </c>
      <c r="E290" s="187" t="s">
        <v>285</v>
      </c>
      <c r="F290" s="187"/>
      <c r="G290" s="187" t="str">
        <f>+VLOOKUP(Table_1[[#This Row],[Account]],BV_Data_An_Cour!$L:$Q,6,0)</f>
        <v>3-Passifs</v>
      </c>
      <c r="H290" s="2"/>
    </row>
    <row r="291" spans="1:8" ht="15" customHeight="1">
      <c r="A291" s="169" t="s">
        <v>456</v>
      </c>
      <c r="B291" s="169" t="s">
        <v>455</v>
      </c>
      <c r="C291" s="159" t="s">
        <v>272</v>
      </c>
      <c r="D291" s="159" t="s">
        <v>36</v>
      </c>
      <c r="E291" s="187" t="s">
        <v>285</v>
      </c>
      <c r="F291" s="187"/>
      <c r="G291" s="187" t="e">
        <f>+VLOOKUP(Table_1[[#This Row],[Account]],BV_Data_An_Cour!$L:$Q,6,0)</f>
        <v>#N/A</v>
      </c>
      <c r="H291" s="2"/>
    </row>
    <row r="292" spans="1:8" ht="15" customHeight="1">
      <c r="A292" s="162" t="s">
        <v>2142</v>
      </c>
      <c r="B292" s="158" t="s">
        <v>2141</v>
      </c>
      <c r="C292" s="159" t="s">
        <v>2153</v>
      </c>
      <c r="D292" s="159" t="s">
        <v>36</v>
      </c>
      <c r="E292" s="187" t="s">
        <v>285</v>
      </c>
      <c r="F292" s="160"/>
      <c r="G292" s="187" t="str">
        <f>+VLOOKUP(Table_1[[#This Row],[Account]],BV_Data_An_Cour!$L:$Q,6,0)</f>
        <v>3-Passifs</v>
      </c>
      <c r="H292" s="2"/>
    </row>
    <row r="293" spans="1:8" ht="15" customHeight="1">
      <c r="A293" s="169" t="s">
        <v>811</v>
      </c>
      <c r="B293" s="665" t="s">
        <v>810</v>
      </c>
      <c r="C293" s="159" t="s">
        <v>272</v>
      </c>
      <c r="D293" s="159" t="s">
        <v>38</v>
      </c>
      <c r="E293" s="187" t="s">
        <v>285</v>
      </c>
      <c r="F293" s="187"/>
      <c r="G293" s="187" t="e">
        <f>+VLOOKUP(Table_1[[#This Row],[Account]],BV_Data_An_Cour!$L:$Q,6,0)</f>
        <v>#N/A</v>
      </c>
      <c r="H293" s="2"/>
    </row>
    <row r="294" spans="1:8" ht="15" customHeight="1">
      <c r="A294" s="162" t="s">
        <v>466</v>
      </c>
      <c r="B294" s="166" t="s">
        <v>1792</v>
      </c>
      <c r="C294" s="159" t="s">
        <v>272</v>
      </c>
      <c r="D294" s="159" t="s">
        <v>38</v>
      </c>
      <c r="E294" s="187" t="s">
        <v>285</v>
      </c>
      <c r="F294" s="187"/>
      <c r="G294" s="187" t="e">
        <f>+VLOOKUP(Table_1[[#This Row],[Account]],BV_Data_An_Cour!$L:$Q,6,0)</f>
        <v>#N/A</v>
      </c>
      <c r="H294" s="2"/>
    </row>
    <row r="295" spans="1:8" ht="15" customHeight="1">
      <c r="A295" s="162" t="s">
        <v>1023</v>
      </c>
      <c r="B295" s="173" t="s">
        <v>1059</v>
      </c>
      <c r="C295" s="159" t="s">
        <v>272</v>
      </c>
      <c r="D295" s="159" t="s">
        <v>38</v>
      </c>
      <c r="E295" s="187" t="s">
        <v>285</v>
      </c>
      <c r="F295" s="2"/>
      <c r="G295" s="187" t="str">
        <f>+VLOOKUP(Table_1[[#This Row],[Account]],BV_Data_An_Cour!$L:$Q,6,0)</f>
        <v>3-Passifs</v>
      </c>
      <c r="H295" s="2"/>
    </row>
    <row r="296" spans="1:8" ht="15" customHeight="1">
      <c r="A296" s="474" t="s">
        <v>1060</v>
      </c>
      <c r="B296" s="484" t="s">
        <v>1157</v>
      </c>
      <c r="C296" s="159" t="s">
        <v>272</v>
      </c>
      <c r="D296" s="159" t="s">
        <v>38</v>
      </c>
      <c r="E296" s="187" t="s">
        <v>285</v>
      </c>
      <c r="F296" s="2"/>
      <c r="G296" s="187" t="str">
        <f>+VLOOKUP(Table_1[[#This Row],[Account]],BV_Data_An_Cour!$L:$Q,6,0)</f>
        <v>3-Passifs</v>
      </c>
      <c r="H296" s="2"/>
    </row>
    <row r="297" spans="1:8" ht="15" customHeight="1">
      <c r="A297" s="169" t="s">
        <v>1217</v>
      </c>
      <c r="B297" s="665" t="s">
        <v>1216</v>
      </c>
      <c r="C297" s="159" t="s">
        <v>272</v>
      </c>
      <c r="D297" s="159" t="s">
        <v>38</v>
      </c>
      <c r="E297" s="187" t="s">
        <v>285</v>
      </c>
      <c r="F297" s="187"/>
      <c r="G297" s="187" t="e">
        <f>+VLOOKUP(Table_1[[#This Row],[Account]],BV_Data_An_Cour!$L:$Q,6,0)</f>
        <v>#N/A</v>
      </c>
      <c r="H297" s="2"/>
    </row>
    <row r="298" spans="1:8" ht="15" customHeight="1">
      <c r="A298" s="162" t="s">
        <v>1211</v>
      </c>
      <c r="B298" s="478" t="s">
        <v>1210</v>
      </c>
      <c r="C298" s="159" t="s">
        <v>272</v>
      </c>
      <c r="D298" s="159" t="s">
        <v>38</v>
      </c>
      <c r="E298" s="187" t="s">
        <v>285</v>
      </c>
      <c r="F298" s="2"/>
      <c r="G298" s="187" t="str">
        <f>+VLOOKUP(Table_1[[#This Row],[Account]],BV_Data_An_Cour!$L:$Q,6,0)</f>
        <v>3-Passifs</v>
      </c>
      <c r="H298" s="2"/>
    </row>
    <row r="299" spans="1:8" ht="15" customHeight="1">
      <c r="A299" s="162" t="s">
        <v>403</v>
      </c>
      <c r="B299" s="163" t="s">
        <v>1845</v>
      </c>
      <c r="C299" s="159" t="s">
        <v>272</v>
      </c>
      <c r="D299" s="159" t="s">
        <v>18</v>
      </c>
      <c r="E299" s="187" t="s">
        <v>285</v>
      </c>
      <c r="F299" s="2"/>
      <c r="G299" s="187" t="str">
        <f>+VLOOKUP(Table_1[[#This Row],[Account]],BV_Data_An_Cour!$L:$Q,6,0)</f>
        <v>3-Passifs</v>
      </c>
      <c r="H299" s="2"/>
    </row>
    <row r="300" spans="1:8" ht="15" customHeight="1">
      <c r="A300" s="169" t="s">
        <v>966</v>
      </c>
      <c r="B300" s="481" t="s">
        <v>1128</v>
      </c>
      <c r="C300" s="159" t="s">
        <v>272</v>
      </c>
      <c r="D300" s="159" t="s">
        <v>18</v>
      </c>
      <c r="E300" s="187" t="s">
        <v>285</v>
      </c>
      <c r="F300" s="187"/>
      <c r="G300" s="187" t="str">
        <f>+VLOOKUP(Table_1[[#This Row],[Account]],BV_Data_An_Cour!$L:$Q,6,0)</f>
        <v>3-Passifs</v>
      </c>
      <c r="H300" s="2"/>
    </row>
    <row r="301" spans="1:8" ht="15" customHeight="1">
      <c r="A301" s="162" t="s">
        <v>2415</v>
      </c>
      <c r="B301" s="158" t="s">
        <v>2414</v>
      </c>
      <c r="C301" s="159" t="s">
        <v>272</v>
      </c>
      <c r="D301" s="159" t="s">
        <v>18</v>
      </c>
      <c r="E301" s="493"/>
      <c r="F301" s="160"/>
      <c r="G301" s="493"/>
      <c r="H301" s="2"/>
    </row>
    <row r="302" spans="1:8" ht="15" customHeight="1">
      <c r="A302" s="157" t="s">
        <v>1829</v>
      </c>
      <c r="B302" s="158" t="s">
        <v>351</v>
      </c>
      <c r="C302" s="159" t="s">
        <v>272</v>
      </c>
      <c r="D302" s="159" t="s">
        <v>18</v>
      </c>
      <c r="E302" s="187" t="s">
        <v>285</v>
      </c>
      <c r="F302" s="2"/>
      <c r="G302" s="187" t="str">
        <f>+VLOOKUP(Table_1[[#This Row],[Account]],BV_Data_An_Cour!$L:$Q,6,0)</f>
        <v>3-Passifs</v>
      </c>
      <c r="H302" s="2"/>
    </row>
    <row r="303" spans="1:8" ht="15" customHeight="1">
      <c r="A303" s="479" t="s">
        <v>1886</v>
      </c>
      <c r="B303" s="478" t="s">
        <v>1885</v>
      </c>
      <c r="C303" s="159" t="s">
        <v>272</v>
      </c>
      <c r="D303" s="159" t="s">
        <v>26</v>
      </c>
      <c r="E303" s="187" t="s">
        <v>285</v>
      </c>
      <c r="F303" s="2"/>
      <c r="G303" s="187" t="e">
        <f>+VLOOKUP(Table_1[[#This Row],[Account]],BV_Data_An_Cour!$L:$Q,6,0)</f>
        <v>#N/A</v>
      </c>
      <c r="H303" s="2"/>
    </row>
    <row r="304" spans="1:8" ht="15" customHeight="1">
      <c r="A304" s="168" t="s">
        <v>1701</v>
      </c>
      <c r="B304" s="169" t="s">
        <v>1700</v>
      </c>
      <c r="C304" s="159" t="s">
        <v>272</v>
      </c>
      <c r="D304" s="159" t="s">
        <v>18</v>
      </c>
      <c r="E304" s="187" t="s">
        <v>285</v>
      </c>
      <c r="F304" s="2"/>
      <c r="G304" s="187" t="str">
        <f>+VLOOKUP(Table_1[[#This Row],[Account]],BV_Data_An_Cour!$L:$Q,6,0)</f>
        <v>3-Passifs</v>
      </c>
      <c r="H304" s="2"/>
    </row>
    <row r="305" spans="1:8" ht="15" customHeight="1">
      <c r="A305" s="170" t="s">
        <v>1634</v>
      </c>
      <c r="B305" s="171" t="s">
        <v>1633</v>
      </c>
      <c r="C305" s="159" t="s">
        <v>272</v>
      </c>
      <c r="D305" s="159" t="s">
        <v>18</v>
      </c>
      <c r="E305" s="187" t="s">
        <v>285</v>
      </c>
      <c r="F305" s="2"/>
      <c r="G305" s="187" t="str">
        <f>+VLOOKUP(Table_1[[#This Row],[Account]],BV_Data_An_Cour!$L:$Q,6,0)</f>
        <v>3-Passifs</v>
      </c>
      <c r="H305" s="2"/>
    </row>
    <row r="306" spans="1:8" ht="15" customHeight="1">
      <c r="A306" s="162" t="s">
        <v>1931</v>
      </c>
      <c r="B306" s="163" t="s">
        <v>1930</v>
      </c>
      <c r="C306" s="159" t="s">
        <v>272</v>
      </c>
      <c r="D306" s="159" t="s">
        <v>18</v>
      </c>
      <c r="E306" s="187" t="s">
        <v>285</v>
      </c>
      <c r="F306" s="2"/>
      <c r="G306" s="187" t="e">
        <f>+VLOOKUP(Table_1[[#This Row],[Account]],BV_Data_An_Cour!$L:$Q,6,0)</f>
        <v>#N/A</v>
      </c>
      <c r="H306" s="2"/>
    </row>
    <row r="307" spans="1:8" ht="15" customHeight="1">
      <c r="A307" s="1196" t="s">
        <v>2428</v>
      </c>
      <c r="B307" s="1204" t="s">
        <v>2427</v>
      </c>
      <c r="C307" s="159" t="s">
        <v>272</v>
      </c>
      <c r="D307" s="1207" t="s">
        <v>20</v>
      </c>
      <c r="E307" s="493"/>
      <c r="F307" s="160"/>
      <c r="G307" s="493"/>
      <c r="H307" s="2"/>
    </row>
    <row r="308" spans="1:8" ht="15" customHeight="1">
      <c r="A308" s="162" t="s">
        <v>2334</v>
      </c>
      <c r="B308" s="158" t="s">
        <v>2333</v>
      </c>
      <c r="C308" s="159" t="s">
        <v>272</v>
      </c>
      <c r="D308" s="159" t="s">
        <v>36</v>
      </c>
      <c r="E308" s="187" t="s">
        <v>285</v>
      </c>
      <c r="F308" s="160"/>
      <c r="G308" s="493"/>
      <c r="H308" s="2"/>
    </row>
    <row r="309" spans="1:8" ht="15" customHeight="1">
      <c r="A309" s="157" t="s">
        <v>448</v>
      </c>
      <c r="B309" s="158" t="s">
        <v>1827</v>
      </c>
      <c r="C309" s="159" t="s">
        <v>272</v>
      </c>
      <c r="D309" s="159" t="s">
        <v>31</v>
      </c>
      <c r="E309" s="187" t="s">
        <v>285</v>
      </c>
      <c r="F309" s="2"/>
      <c r="G309" s="187" t="str">
        <f>+VLOOKUP(Table_1[[#This Row],[Account]],BV_Data_An_Cour!$L:$Q,6,0)</f>
        <v>3-Passifs</v>
      </c>
      <c r="H309" s="2"/>
    </row>
    <row r="310" spans="1:8" ht="15" customHeight="1">
      <c r="A310" s="168" t="s">
        <v>1063</v>
      </c>
      <c r="B310" s="169" t="s">
        <v>1080</v>
      </c>
      <c r="C310" s="159" t="s">
        <v>272</v>
      </c>
      <c r="D310" s="159" t="s">
        <v>29</v>
      </c>
      <c r="E310" s="187" t="s">
        <v>285</v>
      </c>
      <c r="F310" s="2"/>
      <c r="G310" s="187" t="str">
        <f>+VLOOKUP(Table_1[[#This Row],[Account]],BV_Data_An_Cour!$L:$Q,6,0)</f>
        <v>3-Passifs</v>
      </c>
      <c r="H310" s="2"/>
    </row>
    <row r="311" spans="1:8" ht="15" customHeight="1">
      <c r="A311" s="163" t="s">
        <v>1921</v>
      </c>
      <c r="B311" s="163" t="s">
        <v>1920</v>
      </c>
      <c r="C311" s="159" t="s">
        <v>272</v>
      </c>
      <c r="D311" s="159" t="s">
        <v>29</v>
      </c>
      <c r="E311" s="187" t="s">
        <v>285</v>
      </c>
      <c r="F311" s="2"/>
      <c r="G311" s="187" t="str">
        <f>+VLOOKUP(Table_1[[#This Row],[Account]],BV_Data_An_Cour!$L:$Q,6,0)</f>
        <v>3-Passifs</v>
      </c>
      <c r="H311" s="2"/>
    </row>
    <row r="312" spans="1:8" ht="15" customHeight="1">
      <c r="A312" s="474" t="s">
        <v>1923</v>
      </c>
      <c r="B312" s="482" t="s">
        <v>1922</v>
      </c>
      <c r="C312" s="159" t="s">
        <v>272</v>
      </c>
      <c r="D312" s="468" t="s">
        <v>29</v>
      </c>
      <c r="E312" s="187" t="s">
        <v>285</v>
      </c>
      <c r="F312" s="2"/>
      <c r="G312" s="187" t="str">
        <f>+VLOOKUP(Table_1[[#This Row],[Account]],BV_Data_An_Cour!$L:$Q,6,0)</f>
        <v>3-Passifs</v>
      </c>
      <c r="H312" s="2"/>
    </row>
    <row r="313" spans="1:8" ht="15" customHeight="1">
      <c r="A313" s="162" t="s">
        <v>1859</v>
      </c>
      <c r="B313" s="163" t="s">
        <v>1858</v>
      </c>
      <c r="C313" s="159" t="s">
        <v>272</v>
      </c>
      <c r="D313" s="159" t="s">
        <v>26</v>
      </c>
      <c r="E313" s="187" t="s">
        <v>285</v>
      </c>
      <c r="F313" s="2"/>
      <c r="G313" s="187" t="e">
        <f>+VLOOKUP(Table_1[[#This Row],[Account]],BV_Data_An_Cour!$L:$Q,6,0)</f>
        <v>#N/A</v>
      </c>
      <c r="H313" s="2"/>
    </row>
    <row r="314" spans="1:8" ht="15" customHeight="1">
      <c r="A314" s="157" t="s">
        <v>1125</v>
      </c>
      <c r="B314" s="158" t="s">
        <v>1124</v>
      </c>
      <c r="C314" s="159" t="s">
        <v>272</v>
      </c>
      <c r="D314" s="159" t="s">
        <v>1892</v>
      </c>
      <c r="E314" s="187" t="s">
        <v>285</v>
      </c>
      <c r="F314" s="187"/>
      <c r="G314" s="187" t="e">
        <f>+VLOOKUP(Table_1[[#This Row],[Account]],BV_Data_An_Cour!$L:$Q,6,0)</f>
        <v>#N/A</v>
      </c>
      <c r="H314" s="2"/>
    </row>
    <row r="315" spans="1:8" ht="15" customHeight="1">
      <c r="A315" s="162" t="s">
        <v>2304</v>
      </c>
      <c r="B315" s="158" t="s">
        <v>2303</v>
      </c>
      <c r="C315" s="159" t="s">
        <v>272</v>
      </c>
      <c r="D315" s="159" t="s">
        <v>40</v>
      </c>
      <c r="E315" s="187" t="s">
        <v>285</v>
      </c>
      <c r="F315" s="160"/>
      <c r="G315" s="493"/>
      <c r="H315" s="2"/>
    </row>
    <row r="316" spans="1:8" ht="15" customHeight="1">
      <c r="A316" s="157" t="s">
        <v>1112</v>
      </c>
      <c r="B316" s="158" t="s">
        <v>1111</v>
      </c>
      <c r="C316" s="159" t="s">
        <v>272</v>
      </c>
      <c r="D316" s="159" t="s">
        <v>1892</v>
      </c>
      <c r="E316" s="187" t="s">
        <v>285</v>
      </c>
      <c r="F316" s="2"/>
      <c r="G316" s="187" t="str">
        <f>+VLOOKUP(Table_1[[#This Row],[Account]],BV_Data_An_Cour!$L:$Q,6,0)</f>
        <v>3-Passifs</v>
      </c>
      <c r="H316" s="2"/>
    </row>
    <row r="317" spans="1:8" ht="15" customHeight="1">
      <c r="A317" s="479" t="s">
        <v>2909</v>
      </c>
      <c r="B317" s="480" t="s">
        <v>2908</v>
      </c>
      <c r="C317" s="159" t="s">
        <v>272</v>
      </c>
      <c r="D317" s="159" t="s">
        <v>1892</v>
      </c>
      <c r="E317" s="493"/>
      <c r="F317" s="160"/>
      <c r="G317" s="493"/>
      <c r="H317" s="2"/>
    </row>
    <row r="318" spans="1:8" ht="15" customHeight="1">
      <c r="A318" s="162" t="s">
        <v>2306</v>
      </c>
      <c r="B318" s="158" t="s">
        <v>2305</v>
      </c>
      <c r="C318" s="159" t="s">
        <v>272</v>
      </c>
      <c r="D318" s="159" t="s">
        <v>40</v>
      </c>
      <c r="E318" s="187" t="s">
        <v>285</v>
      </c>
      <c r="F318" s="160"/>
      <c r="G318" s="493"/>
      <c r="H318" s="2"/>
    </row>
    <row r="319" spans="1:8" ht="15" customHeight="1">
      <c r="A319" s="479" t="s">
        <v>1761</v>
      </c>
      <c r="B319" s="478" t="s">
        <v>1760</v>
      </c>
      <c r="C319" s="159" t="s">
        <v>272</v>
      </c>
      <c r="D319" s="159" t="s">
        <v>54</v>
      </c>
      <c r="E319" s="187" t="s">
        <v>285</v>
      </c>
      <c r="F319" s="2"/>
      <c r="G319" s="187" t="e">
        <f>+VLOOKUP(Table_1[[#This Row],[Account]],BV_Data_An_Cour!$L:$Q,6,0)</f>
        <v>#N/A</v>
      </c>
      <c r="H319" s="2"/>
    </row>
    <row r="320" spans="1:8" ht="15" customHeight="1">
      <c r="A320" s="169" t="s">
        <v>1101</v>
      </c>
      <c r="B320" s="169" t="s">
        <v>1100</v>
      </c>
      <c r="C320" s="159" t="s">
        <v>272</v>
      </c>
      <c r="D320" s="159" t="s">
        <v>48</v>
      </c>
      <c r="E320" s="187" t="s">
        <v>285</v>
      </c>
      <c r="F320" s="187"/>
      <c r="G320" s="187" t="e">
        <f>+VLOOKUP(Table_1[[#This Row],[Account]],BV_Data_An_Cour!$L:$Q,6,0)</f>
        <v>#N/A</v>
      </c>
      <c r="H320" s="2"/>
    </row>
    <row r="321" spans="1:8" ht="15" customHeight="1">
      <c r="A321" s="162" t="s">
        <v>1369</v>
      </c>
      <c r="B321" s="163" t="s">
        <v>1368</v>
      </c>
      <c r="C321" s="159" t="s">
        <v>272</v>
      </c>
      <c r="D321" s="159" t="s">
        <v>50</v>
      </c>
      <c r="E321" s="187" t="s">
        <v>285</v>
      </c>
      <c r="F321" s="2"/>
      <c r="G321" s="187" t="str">
        <f>+VLOOKUP(Table_1[[#This Row],[Account]],BV_Data_An_Cour!$L:$Q,6,0)</f>
        <v>3-Passifs</v>
      </c>
      <c r="H321" s="2"/>
    </row>
    <row r="322" spans="1:8" ht="15" customHeight="1">
      <c r="A322" s="162" t="s">
        <v>2465</v>
      </c>
      <c r="B322" s="158" t="s">
        <v>2464</v>
      </c>
      <c r="C322" s="159" t="s">
        <v>272</v>
      </c>
      <c r="D322" s="159" t="s">
        <v>24</v>
      </c>
      <c r="E322" s="187" t="s">
        <v>285</v>
      </c>
      <c r="F322" s="2"/>
      <c r="G322" s="187" t="e">
        <f>+VLOOKUP(Table_1[[#This Row],[Account]],BV_Data_An_Cour!$L:$Q,6,0)</f>
        <v>#N/A</v>
      </c>
      <c r="H322" s="2"/>
    </row>
    <row r="323" spans="1:8" ht="15" customHeight="1">
      <c r="A323" s="169" t="s">
        <v>378</v>
      </c>
      <c r="B323" s="169" t="s">
        <v>1711</v>
      </c>
      <c r="C323" s="159" t="s">
        <v>272</v>
      </c>
      <c r="D323" s="159" t="s">
        <v>57</v>
      </c>
      <c r="E323" s="187" t="s">
        <v>285</v>
      </c>
      <c r="F323" s="187"/>
      <c r="G323" s="187" t="str">
        <f>+VLOOKUP(Table_1[[#This Row],[Account]],BV_Data_An_Cour!$L:$Q,6,0)</f>
        <v>3-Passifs</v>
      </c>
      <c r="H323" s="2"/>
    </row>
    <row r="324" spans="1:8" ht="15" customHeight="1">
      <c r="A324" s="168" t="s">
        <v>379</v>
      </c>
      <c r="B324" s="169" t="s">
        <v>1663</v>
      </c>
      <c r="C324" s="159" t="s">
        <v>272</v>
      </c>
      <c r="D324" s="159" t="s">
        <v>57</v>
      </c>
      <c r="E324" s="187" t="s">
        <v>285</v>
      </c>
      <c r="F324" s="2"/>
      <c r="G324" s="187" t="str">
        <f>+VLOOKUP(Table_1[[#This Row],[Account]],BV_Data_An_Cour!$L:$Q,6,0)</f>
        <v>3-Passifs</v>
      </c>
      <c r="H324" s="2"/>
    </row>
    <row r="325" spans="1:8" ht="15" customHeight="1">
      <c r="A325" s="474" t="s">
        <v>1689</v>
      </c>
      <c r="B325" s="482" t="s">
        <v>1688</v>
      </c>
      <c r="C325" s="159" t="s">
        <v>272</v>
      </c>
      <c r="D325" s="159" t="s">
        <v>58</v>
      </c>
      <c r="E325" s="187" t="s">
        <v>285</v>
      </c>
      <c r="F325" s="187"/>
      <c r="G325" s="187" t="str">
        <f>+VLOOKUP(Table_1[[#This Row],[Account]],BV_Data_An_Cour!$L:$Q,6,0)</f>
        <v>3-Passifs</v>
      </c>
      <c r="H325" s="2"/>
    </row>
    <row r="326" spans="1:8" ht="15" customHeight="1">
      <c r="A326" s="168" t="s">
        <v>1207</v>
      </c>
      <c r="B326" s="169" t="s">
        <v>1206</v>
      </c>
      <c r="C326" s="159" t="s">
        <v>272</v>
      </c>
      <c r="D326" s="159" t="s">
        <v>62</v>
      </c>
      <c r="E326" s="187" t="s">
        <v>285</v>
      </c>
      <c r="F326" s="2"/>
      <c r="G326" s="187" t="str">
        <f>+VLOOKUP(Table_1[[#This Row],[Account]],BV_Data_An_Cour!$L:$Q,6,0)</f>
        <v>3-Passifs</v>
      </c>
      <c r="H326" s="2"/>
    </row>
    <row r="327" spans="1:8" ht="15" customHeight="1">
      <c r="A327" s="157" t="s">
        <v>1790</v>
      </c>
      <c r="B327" s="158" t="s">
        <v>1789</v>
      </c>
      <c r="C327" s="159" t="s">
        <v>272</v>
      </c>
      <c r="D327" s="159" t="s">
        <v>59</v>
      </c>
      <c r="E327" s="187" t="s">
        <v>285</v>
      </c>
      <c r="F327" s="187"/>
      <c r="G327" s="187" t="str">
        <f>+VLOOKUP(Table_1[[#This Row],[Account]],BV_Data_An_Cour!$L:$Q,6,0)</f>
        <v>3-Passifs</v>
      </c>
      <c r="H327" s="2"/>
    </row>
    <row r="328" spans="1:8" ht="15" customHeight="1">
      <c r="A328" s="479" t="s">
        <v>1209</v>
      </c>
      <c r="B328" s="478" t="s">
        <v>1208</v>
      </c>
      <c r="C328" s="159" t="s">
        <v>272</v>
      </c>
      <c r="D328" s="159" t="s">
        <v>60</v>
      </c>
      <c r="E328" s="187" t="s">
        <v>285</v>
      </c>
      <c r="F328" s="187"/>
      <c r="G328" s="187" t="e">
        <f>+VLOOKUP(Table_1[[#This Row],[Account]],BV_Data_An_Cour!$L:$Q,6,0)</f>
        <v>#N/A</v>
      </c>
      <c r="H328" s="2"/>
    </row>
    <row r="329" spans="1:8" ht="15" customHeight="1">
      <c r="A329" s="157" t="s">
        <v>367</v>
      </c>
      <c r="B329" s="158" t="s">
        <v>1617</v>
      </c>
      <c r="C329" s="159" t="s">
        <v>272</v>
      </c>
      <c r="D329" s="159" t="s">
        <v>57</v>
      </c>
      <c r="E329" s="187" t="s">
        <v>285</v>
      </c>
      <c r="F329" s="2"/>
      <c r="G329" s="187" t="e">
        <f>+VLOOKUP(Table_1[[#This Row],[Account]],BV_Data_An_Cour!$L:$Q,6,0)</f>
        <v>#N/A</v>
      </c>
      <c r="H329" s="2"/>
    </row>
    <row r="330" spans="1:8" ht="15" customHeight="1">
      <c r="A330" s="481" t="s">
        <v>467</v>
      </c>
      <c r="B330" s="481" t="s">
        <v>1130</v>
      </c>
      <c r="C330" s="159" t="s">
        <v>272</v>
      </c>
      <c r="D330" s="159" t="s">
        <v>53</v>
      </c>
      <c r="E330" s="187" t="s">
        <v>285</v>
      </c>
      <c r="F330" s="2"/>
      <c r="G330" s="187" t="e">
        <f>+VLOOKUP(Table_1[[#This Row],[Account]],BV_Data_An_Cour!$L:$Q,6,0)</f>
        <v>#N/A</v>
      </c>
      <c r="H330" s="2"/>
    </row>
    <row r="331" spans="1:8" ht="15" customHeight="1">
      <c r="A331" s="476" t="s">
        <v>356</v>
      </c>
      <c r="B331" s="483" t="s">
        <v>601</v>
      </c>
      <c r="C331" s="159" t="s">
        <v>272</v>
      </c>
      <c r="D331" s="159" t="s">
        <v>67</v>
      </c>
      <c r="E331" s="187" t="s">
        <v>285</v>
      </c>
      <c r="F331" s="187"/>
      <c r="G331" s="187" t="e">
        <f>+VLOOKUP(Table_1[[#This Row],[Account]],BV_Data_An_Cour!$L:$Q,6,0)</f>
        <v>#N/A</v>
      </c>
      <c r="H331" s="2"/>
    </row>
    <row r="332" spans="1:8" ht="15" customHeight="1">
      <c r="A332" s="158" t="s">
        <v>357</v>
      </c>
      <c r="B332" s="158" t="s">
        <v>602</v>
      </c>
      <c r="C332" s="159" t="s">
        <v>272</v>
      </c>
      <c r="D332" s="159" t="s">
        <v>69</v>
      </c>
      <c r="E332" s="187" t="s">
        <v>285</v>
      </c>
      <c r="F332" s="2"/>
      <c r="G332" s="187" t="e">
        <f>+VLOOKUP(Table_1[[#This Row],[Account]],BV_Data_An_Cour!$L:$Q,6,0)</f>
        <v>#N/A</v>
      </c>
      <c r="H332" s="2"/>
    </row>
    <row r="333" spans="1:8" ht="15" customHeight="1">
      <c r="A333" s="162" t="s">
        <v>2924</v>
      </c>
      <c r="B333" s="158" t="s">
        <v>2923</v>
      </c>
      <c r="C333" s="159" t="s">
        <v>75</v>
      </c>
      <c r="D333" s="159" t="s">
        <v>86</v>
      </c>
      <c r="E333" s="187" t="s">
        <v>285</v>
      </c>
      <c r="F333" s="2" t="s">
        <v>2154</v>
      </c>
      <c r="G333" s="493"/>
      <c r="H333" s="2"/>
    </row>
    <row r="334" spans="1:8" ht="15" customHeight="1">
      <c r="A334" s="162" t="s">
        <v>2928</v>
      </c>
      <c r="B334" s="158" t="s">
        <v>2927</v>
      </c>
      <c r="C334" s="159" t="s">
        <v>75</v>
      </c>
      <c r="D334" s="159" t="s">
        <v>86</v>
      </c>
      <c r="E334" s="187" t="s">
        <v>1909</v>
      </c>
      <c r="F334" s="160"/>
      <c r="G334" s="493"/>
      <c r="H334" s="2"/>
    </row>
    <row r="335" spans="1:8" ht="15" customHeight="1">
      <c r="A335" s="474" t="s">
        <v>604</v>
      </c>
      <c r="B335" s="482" t="s">
        <v>603</v>
      </c>
      <c r="C335" s="159" t="s">
        <v>75</v>
      </c>
      <c r="D335" s="159" t="s">
        <v>86</v>
      </c>
      <c r="E335" s="187" t="s">
        <v>285</v>
      </c>
      <c r="F335" s="2" t="s">
        <v>1908</v>
      </c>
      <c r="G335" s="187" t="e">
        <f>+VLOOKUP(Table_1[[#This Row],[Account]],BV_Data_An_Cour!$L:$Q,6,0)</f>
        <v>#N/A</v>
      </c>
      <c r="H335" s="2"/>
    </row>
    <row r="336" spans="1:8" ht="15" customHeight="1">
      <c r="A336" s="168" t="s">
        <v>692</v>
      </c>
      <c r="B336" s="169" t="s">
        <v>1036</v>
      </c>
      <c r="C336" s="159" t="s">
        <v>75</v>
      </c>
      <c r="D336" s="159" t="s">
        <v>86</v>
      </c>
      <c r="E336" s="187" t="s">
        <v>1909</v>
      </c>
      <c r="F336" s="2"/>
      <c r="G336" s="187" t="e">
        <f>+VLOOKUP(Table_1[[#This Row],[Account]],BV_Data_An_Cour!$L:$Q,6,0)</f>
        <v>#N/A</v>
      </c>
      <c r="H336" s="2"/>
    </row>
    <row r="337" spans="1:8" ht="15" customHeight="1">
      <c r="A337" s="479" t="s">
        <v>2506</v>
      </c>
      <c r="B337" s="480" t="s">
        <v>2505</v>
      </c>
      <c r="C337" s="159" t="s">
        <v>75</v>
      </c>
      <c r="D337" s="159" t="s">
        <v>86</v>
      </c>
      <c r="E337" s="187" t="s">
        <v>285</v>
      </c>
      <c r="F337" s="2" t="s">
        <v>1908</v>
      </c>
      <c r="G337" s="493"/>
      <c r="H337" s="2"/>
    </row>
    <row r="338" spans="1:8" ht="15" customHeight="1">
      <c r="A338" s="162" t="s">
        <v>2510</v>
      </c>
      <c r="B338" s="158" t="s">
        <v>2509</v>
      </c>
      <c r="C338" s="159" t="s">
        <v>75</v>
      </c>
      <c r="D338" s="159" t="s">
        <v>86</v>
      </c>
      <c r="E338" s="187" t="s">
        <v>283</v>
      </c>
      <c r="F338" s="160"/>
      <c r="G338" s="493"/>
      <c r="H338" s="2"/>
    </row>
    <row r="339" spans="1:8" ht="15" customHeight="1">
      <c r="A339" s="479" t="s">
        <v>2386</v>
      </c>
      <c r="B339" s="480" t="s">
        <v>2385</v>
      </c>
      <c r="C339" s="159" t="s">
        <v>75</v>
      </c>
      <c r="D339" s="159" t="s">
        <v>87</v>
      </c>
      <c r="E339" s="493" t="s">
        <v>285</v>
      </c>
      <c r="F339" s="160" t="s">
        <v>1908</v>
      </c>
      <c r="G339" s="493"/>
      <c r="H339" s="2"/>
    </row>
    <row r="340" spans="1:8" ht="15" customHeight="1">
      <c r="A340" s="162" t="s">
        <v>2396</v>
      </c>
      <c r="B340" s="158" t="s">
        <v>2395</v>
      </c>
      <c r="C340" s="159" t="s">
        <v>75</v>
      </c>
      <c r="D340" s="159" t="s">
        <v>87</v>
      </c>
      <c r="E340" s="187" t="s">
        <v>283</v>
      </c>
      <c r="F340" s="160"/>
      <c r="G340" s="493"/>
      <c r="H340" s="2"/>
    </row>
    <row r="341" spans="1:8" ht="15" customHeight="1">
      <c r="A341" s="162" t="s">
        <v>2341</v>
      </c>
      <c r="B341" s="158" t="s">
        <v>2340</v>
      </c>
      <c r="C341" s="159" t="s">
        <v>75</v>
      </c>
      <c r="D341" s="159" t="s">
        <v>87</v>
      </c>
      <c r="E341" s="187" t="s">
        <v>285</v>
      </c>
      <c r="F341" s="2" t="s">
        <v>2195</v>
      </c>
      <c r="G341" s="493"/>
    </row>
    <row r="342" spans="1:8" ht="15" customHeight="1">
      <c r="A342" s="162" t="s">
        <v>2353</v>
      </c>
      <c r="B342" s="158" t="s">
        <v>2352</v>
      </c>
      <c r="C342" s="159" t="s">
        <v>75</v>
      </c>
      <c r="D342" s="159" t="s">
        <v>87</v>
      </c>
      <c r="E342" s="187" t="s">
        <v>283</v>
      </c>
      <c r="F342" s="160"/>
      <c r="G342" s="493"/>
    </row>
    <row r="343" spans="1:8" ht="15" customHeight="1">
      <c r="A343" s="162" t="s">
        <v>2407</v>
      </c>
      <c r="B343" s="158" t="s">
        <v>2406</v>
      </c>
      <c r="C343" s="159" t="s">
        <v>75</v>
      </c>
      <c r="D343" s="159" t="s">
        <v>87</v>
      </c>
      <c r="E343" s="187" t="s">
        <v>285</v>
      </c>
      <c r="F343" s="2" t="s">
        <v>2154</v>
      </c>
      <c r="G343" s="493"/>
      <c r="H343" s="2"/>
    </row>
    <row r="344" spans="1:8" ht="15" customHeight="1">
      <c r="A344" s="162" t="s">
        <v>2411</v>
      </c>
      <c r="B344" s="158" t="s">
        <v>2410</v>
      </c>
      <c r="C344" s="159" t="s">
        <v>75</v>
      </c>
      <c r="D344" s="159" t="s">
        <v>87</v>
      </c>
      <c r="E344" s="187" t="s">
        <v>283</v>
      </c>
      <c r="F344" s="160"/>
      <c r="G344" s="493"/>
      <c r="H344" s="2"/>
    </row>
    <row r="345" spans="1:8" ht="15" customHeight="1">
      <c r="A345" s="162" t="s">
        <v>2990</v>
      </c>
      <c r="B345" s="158" t="s">
        <v>2989</v>
      </c>
      <c r="C345" s="159" t="s">
        <v>75</v>
      </c>
      <c r="D345" s="159" t="s">
        <v>87</v>
      </c>
      <c r="E345" s="187" t="s">
        <v>285</v>
      </c>
      <c r="F345" s="2" t="s">
        <v>2154</v>
      </c>
      <c r="G345" s="493"/>
      <c r="H345" s="2"/>
    </row>
    <row r="346" spans="1:8" ht="15" customHeight="1">
      <c r="A346" s="162" t="s">
        <v>2992</v>
      </c>
      <c r="B346" s="158" t="s">
        <v>2989</v>
      </c>
      <c r="C346" s="159" t="s">
        <v>75</v>
      </c>
      <c r="D346" s="159" t="s">
        <v>87</v>
      </c>
      <c r="E346" s="187" t="s">
        <v>283</v>
      </c>
      <c r="F346" s="160"/>
      <c r="G346" s="493"/>
      <c r="H346" s="2"/>
    </row>
    <row r="347" spans="1:8" ht="15" customHeight="1">
      <c r="A347" s="479" t="s">
        <v>2343</v>
      </c>
      <c r="B347" s="480" t="s">
        <v>2342</v>
      </c>
      <c r="C347" s="159" t="s">
        <v>75</v>
      </c>
      <c r="D347" s="159" t="s">
        <v>86</v>
      </c>
      <c r="E347" s="187" t="s">
        <v>285</v>
      </c>
      <c r="F347" s="2" t="s">
        <v>2195</v>
      </c>
      <c r="G347" s="493"/>
      <c r="H347" s="2"/>
    </row>
    <row r="348" spans="1:8" ht="15" customHeight="1">
      <c r="A348" s="162" t="s">
        <v>2355</v>
      </c>
      <c r="B348" s="733" t="s">
        <v>2354</v>
      </c>
      <c r="C348" s="159" t="s">
        <v>75</v>
      </c>
      <c r="D348" s="159" t="s">
        <v>86</v>
      </c>
      <c r="E348" s="187" t="s">
        <v>283</v>
      </c>
      <c r="F348" s="160"/>
      <c r="G348" s="493"/>
      <c r="H348" s="2"/>
    </row>
    <row r="349" spans="1:8" ht="15" customHeight="1">
      <c r="A349" s="479" t="s">
        <v>2345</v>
      </c>
      <c r="B349" s="480" t="s">
        <v>2344</v>
      </c>
      <c r="C349" s="159" t="s">
        <v>75</v>
      </c>
      <c r="D349" s="159" t="s">
        <v>86</v>
      </c>
      <c r="E349" s="187" t="s">
        <v>285</v>
      </c>
      <c r="F349" s="2" t="s">
        <v>2154</v>
      </c>
      <c r="G349" s="493"/>
      <c r="H349" s="2"/>
    </row>
    <row r="350" spans="1:8" ht="15" customHeight="1">
      <c r="A350" s="162" t="s">
        <v>2357</v>
      </c>
      <c r="B350" s="733" t="s">
        <v>2356</v>
      </c>
      <c r="C350" s="159" t="s">
        <v>75</v>
      </c>
      <c r="D350" s="159" t="s">
        <v>86</v>
      </c>
      <c r="E350" s="187" t="s">
        <v>283</v>
      </c>
      <c r="F350" s="160"/>
      <c r="G350" s="493"/>
      <c r="H350" s="2"/>
    </row>
    <row r="351" spans="1:8" ht="15" customHeight="1">
      <c r="A351" s="162" t="s">
        <v>2903</v>
      </c>
      <c r="B351" s="158" t="s">
        <v>2902</v>
      </c>
      <c r="C351" s="159" t="s">
        <v>75</v>
      </c>
      <c r="D351" s="159" t="s">
        <v>86</v>
      </c>
      <c r="E351" s="187" t="s">
        <v>285</v>
      </c>
      <c r="F351" s="2" t="s">
        <v>1908</v>
      </c>
      <c r="G351" s="493"/>
      <c r="H351" s="2"/>
    </row>
    <row r="352" spans="1:8" ht="15" customHeight="1">
      <c r="A352" s="162" t="s">
        <v>2907</v>
      </c>
      <c r="B352" s="158" t="s">
        <v>2906</v>
      </c>
      <c r="C352" s="159" t="s">
        <v>75</v>
      </c>
      <c r="D352" s="159" t="s">
        <v>86</v>
      </c>
      <c r="E352" s="187" t="s">
        <v>1909</v>
      </c>
      <c r="F352" s="160"/>
      <c r="G352" s="493"/>
      <c r="H352" s="2"/>
    </row>
    <row r="353" spans="1:8" ht="15" customHeight="1">
      <c r="A353" s="157" t="s">
        <v>605</v>
      </c>
      <c r="B353" s="158" t="s">
        <v>1370</v>
      </c>
      <c r="C353" s="159" t="s">
        <v>75</v>
      </c>
      <c r="D353" s="159" t="s">
        <v>86</v>
      </c>
      <c r="E353" s="187" t="s">
        <v>285</v>
      </c>
      <c r="F353" s="2" t="s">
        <v>1908</v>
      </c>
      <c r="G353" s="187" t="e">
        <f>+VLOOKUP(Table_1[[#This Row],[Account]],BV_Data_An_Cour!$L:$Q,6,0)</f>
        <v>#N/A</v>
      </c>
      <c r="H353" s="2"/>
    </row>
    <row r="354" spans="1:8" ht="15" customHeight="1">
      <c r="A354" s="157" t="s">
        <v>693</v>
      </c>
      <c r="B354" s="158" t="s">
        <v>1487</v>
      </c>
      <c r="C354" s="159" t="s">
        <v>75</v>
      </c>
      <c r="D354" s="159" t="s">
        <v>86</v>
      </c>
      <c r="E354" s="187" t="s">
        <v>1909</v>
      </c>
      <c r="F354" s="2"/>
      <c r="G354" s="187" t="e">
        <f>+VLOOKUP(Table_1[[#This Row],[Account]],BV_Data_An_Cour!$L:$Q,6,0)</f>
        <v>#N/A</v>
      </c>
      <c r="H354" s="2"/>
    </row>
    <row r="355" spans="1:8" ht="15" customHeight="1">
      <c r="A355" s="162" t="s">
        <v>2471</v>
      </c>
      <c r="B355" s="158" t="s">
        <v>2470</v>
      </c>
      <c r="C355" s="159" t="s">
        <v>75</v>
      </c>
      <c r="D355" s="159" t="s">
        <v>86</v>
      </c>
      <c r="E355" s="187" t="s">
        <v>285</v>
      </c>
      <c r="F355" s="2" t="s">
        <v>1908</v>
      </c>
      <c r="G355" s="493"/>
      <c r="H355" s="2"/>
    </row>
    <row r="356" spans="1:8" ht="15" customHeight="1">
      <c r="A356" s="162" t="s">
        <v>2479</v>
      </c>
      <c r="B356" s="158" t="s">
        <v>2478</v>
      </c>
      <c r="C356" s="159" t="s">
        <v>75</v>
      </c>
      <c r="D356" s="159" t="s">
        <v>86</v>
      </c>
      <c r="E356" s="187" t="s">
        <v>283</v>
      </c>
      <c r="F356" s="2"/>
      <c r="G356" s="493"/>
      <c r="H356" s="2"/>
    </row>
    <row r="357" spans="1:8" ht="15" customHeight="1">
      <c r="A357" s="163" t="s">
        <v>606</v>
      </c>
      <c r="B357" s="482" t="s">
        <v>1371</v>
      </c>
      <c r="C357" s="159" t="s">
        <v>75</v>
      </c>
      <c r="D357" s="159" t="s">
        <v>86</v>
      </c>
      <c r="E357" s="187" t="s">
        <v>285</v>
      </c>
      <c r="F357" s="2" t="s">
        <v>1908</v>
      </c>
      <c r="G357" s="187" t="e">
        <f>+VLOOKUP(Table_1[[#This Row],[Account]],BV_Data_An_Cour!$L:$Q,6,0)</f>
        <v>#N/A</v>
      </c>
      <c r="H357" s="2"/>
    </row>
    <row r="358" spans="1:8" ht="15" customHeight="1">
      <c r="A358" s="474" t="s">
        <v>694</v>
      </c>
      <c r="B358" s="482" t="s">
        <v>1488</v>
      </c>
      <c r="C358" s="159" t="s">
        <v>75</v>
      </c>
      <c r="D358" s="159" t="s">
        <v>86</v>
      </c>
      <c r="E358" s="187" t="s">
        <v>1909</v>
      </c>
      <c r="F358" s="2"/>
      <c r="G358" s="187" t="e">
        <f>+VLOOKUP(Table_1[[#This Row],[Account]],BV_Data_An_Cour!$L:$Q,6,0)</f>
        <v>#N/A</v>
      </c>
      <c r="H358" s="2"/>
    </row>
    <row r="359" spans="1:8" ht="15" customHeight="1">
      <c r="A359" s="162" t="s">
        <v>607</v>
      </c>
      <c r="B359" s="163" t="s">
        <v>1861</v>
      </c>
      <c r="C359" s="159" t="s">
        <v>75</v>
      </c>
      <c r="D359" s="159" t="s">
        <v>86</v>
      </c>
      <c r="E359" s="187" t="s">
        <v>285</v>
      </c>
      <c r="F359" s="2" t="s">
        <v>1908</v>
      </c>
      <c r="G359" s="187" t="e">
        <f>+VLOOKUP(Table_1[[#This Row],[Account]],BV_Data_An_Cour!$L:$Q,6,0)</f>
        <v>#N/A</v>
      </c>
      <c r="H359" s="2"/>
    </row>
    <row r="360" spans="1:8" ht="15" customHeight="1">
      <c r="A360" s="474" t="s">
        <v>695</v>
      </c>
      <c r="B360" s="163" t="s">
        <v>1876</v>
      </c>
      <c r="C360" s="159" t="s">
        <v>75</v>
      </c>
      <c r="D360" s="159" t="s">
        <v>86</v>
      </c>
      <c r="E360" s="187" t="s">
        <v>1909</v>
      </c>
      <c r="F360" s="2"/>
      <c r="G360" s="187" t="e">
        <f>+VLOOKUP(Table_1[[#This Row],[Account]],BV_Data_An_Cour!$L:$Q,6,0)</f>
        <v>#N/A</v>
      </c>
      <c r="H360" s="2"/>
    </row>
    <row r="361" spans="1:8" ht="15" customHeight="1">
      <c r="A361" s="162" t="s">
        <v>2052</v>
      </c>
      <c r="B361" s="163" t="s">
        <v>2051</v>
      </c>
      <c r="C361" s="159" t="s">
        <v>75</v>
      </c>
      <c r="D361" s="468" t="s">
        <v>86</v>
      </c>
      <c r="E361" s="187" t="s">
        <v>285</v>
      </c>
      <c r="F361" s="2" t="s">
        <v>1908</v>
      </c>
      <c r="G361" s="187" t="s">
        <v>2006</v>
      </c>
      <c r="H361" s="2"/>
    </row>
    <row r="362" spans="1:8" ht="15" customHeight="1">
      <c r="A362" s="479" t="s">
        <v>2061</v>
      </c>
      <c r="B362" s="478" t="s">
        <v>2060</v>
      </c>
      <c r="C362" s="159" t="s">
        <v>75</v>
      </c>
      <c r="D362" s="468" t="s">
        <v>86</v>
      </c>
      <c r="E362" s="187" t="s">
        <v>283</v>
      </c>
      <c r="F362" s="2"/>
      <c r="G362" s="187" t="e">
        <f>+VLOOKUP(Table_1[[#This Row],[Account]],BV_Data_An_Cour!$L:$Q,6,0)</f>
        <v>#N/A</v>
      </c>
      <c r="H362" s="2"/>
    </row>
    <row r="363" spans="1:8" ht="15" customHeight="1">
      <c r="A363" s="479" t="s">
        <v>2362</v>
      </c>
      <c r="B363" s="480" t="s">
        <v>2361</v>
      </c>
      <c r="C363" s="159" t="s">
        <v>75</v>
      </c>
      <c r="D363" s="159" t="s">
        <v>86</v>
      </c>
      <c r="E363" s="187" t="s">
        <v>285</v>
      </c>
      <c r="F363" s="2" t="s">
        <v>2154</v>
      </c>
      <c r="G363" s="493"/>
      <c r="H363" s="2"/>
    </row>
    <row r="364" spans="1:8" ht="15" customHeight="1">
      <c r="A364" s="162" t="s">
        <v>2373</v>
      </c>
      <c r="B364" s="158" t="s">
        <v>2372</v>
      </c>
      <c r="C364" s="159" t="s">
        <v>75</v>
      </c>
      <c r="D364" s="159" t="s">
        <v>86</v>
      </c>
      <c r="E364" s="187" t="s">
        <v>283</v>
      </c>
      <c r="F364" s="2"/>
      <c r="G364" s="187"/>
      <c r="H364" s="2"/>
    </row>
    <row r="365" spans="1:8" ht="15" customHeight="1">
      <c r="A365" s="162" t="s">
        <v>2201</v>
      </c>
      <c r="B365" s="158" t="s">
        <v>2200</v>
      </c>
      <c r="C365" s="159" t="s">
        <v>75</v>
      </c>
      <c r="D365" s="159" t="s">
        <v>86</v>
      </c>
      <c r="E365" s="187" t="s">
        <v>285</v>
      </c>
      <c r="F365" s="2" t="s">
        <v>2154</v>
      </c>
      <c r="G365" s="187" t="e">
        <f>+VLOOKUP(Table_1[[#This Row],[Account]],BV_Data_An_Cour!$L:$Q,6,0)</f>
        <v>#N/A</v>
      </c>
      <c r="H365" s="2"/>
    </row>
    <row r="366" spans="1:8" ht="15" customHeight="1">
      <c r="A366" s="162" t="s">
        <v>2209</v>
      </c>
      <c r="B366" s="158" t="s">
        <v>2208</v>
      </c>
      <c r="C366" s="159" t="s">
        <v>75</v>
      </c>
      <c r="D366" s="159" t="s">
        <v>86</v>
      </c>
      <c r="E366" s="187" t="s">
        <v>283</v>
      </c>
      <c r="F366" s="160"/>
      <c r="G366" s="187" t="e">
        <f>+VLOOKUP(Table_1[[#This Row],[Account]],BV_Data_An_Cour!$L:$Q,6,0)</f>
        <v>#N/A</v>
      </c>
      <c r="H366" s="2"/>
    </row>
    <row r="367" spans="1:8" ht="15" customHeight="1">
      <c r="A367" s="474" t="s">
        <v>2144</v>
      </c>
      <c r="B367" s="733" t="s">
        <v>2143</v>
      </c>
      <c r="C367" s="159" t="s">
        <v>75</v>
      </c>
      <c r="D367" s="159" t="s">
        <v>86</v>
      </c>
      <c r="E367" s="187" t="s">
        <v>285</v>
      </c>
      <c r="F367" s="2" t="s">
        <v>2154</v>
      </c>
      <c r="G367" s="187" t="e">
        <f>+VLOOKUP(Table_1[[#This Row],[Account]],BV_Data_An_Cour!$L:$Q,6,0)</f>
        <v>#N/A</v>
      </c>
      <c r="H367" s="2"/>
    </row>
    <row r="368" spans="1:8" ht="15" customHeight="1">
      <c r="A368" s="162" t="s">
        <v>2152</v>
      </c>
      <c r="B368" s="158" t="s">
        <v>2151</v>
      </c>
      <c r="C368" s="159" t="s">
        <v>75</v>
      </c>
      <c r="D368" s="159" t="s">
        <v>86</v>
      </c>
      <c r="E368" s="187" t="s">
        <v>1909</v>
      </c>
      <c r="F368" s="2"/>
      <c r="G368" s="187" t="e">
        <f>+VLOOKUP(Table_1[[#This Row],[Account]],BV_Data_An_Cour!$L:$Q,6,0)</f>
        <v>#N/A</v>
      </c>
      <c r="H368" s="2"/>
    </row>
    <row r="369" spans="1:12" ht="15" customHeight="1">
      <c r="A369" s="162" t="s">
        <v>1983</v>
      </c>
      <c r="B369" s="163" t="s">
        <v>1982</v>
      </c>
      <c r="C369" s="159" t="s">
        <v>75</v>
      </c>
      <c r="D369" s="159" t="s">
        <v>86</v>
      </c>
      <c r="E369" s="187" t="s">
        <v>285</v>
      </c>
      <c r="F369" s="2" t="s">
        <v>1908</v>
      </c>
      <c r="G369" s="187" t="e">
        <f>+VLOOKUP(Table_1[[#This Row],[Account]],BV_Data_An_Cour!$L:$Q,6,0)</f>
        <v>#N/A</v>
      </c>
      <c r="H369" s="2"/>
    </row>
    <row r="370" spans="1:12" ht="15" customHeight="1">
      <c r="A370" s="162" t="s">
        <v>1991</v>
      </c>
      <c r="B370" s="163" t="s">
        <v>1990</v>
      </c>
      <c r="C370" s="159" t="s">
        <v>75</v>
      </c>
      <c r="D370" s="159" t="s">
        <v>86</v>
      </c>
      <c r="E370" s="187" t="s">
        <v>1909</v>
      </c>
      <c r="F370" s="2"/>
      <c r="G370" s="187" t="e">
        <f>+VLOOKUP(Table_1[[#This Row],[Account]],BV_Data_An_Cour!$L:$Q,6,0)</f>
        <v>#N/A</v>
      </c>
      <c r="H370" s="2"/>
      <c r="L370" s="2"/>
    </row>
    <row r="371" spans="1:12" ht="15" customHeight="1">
      <c r="A371" s="162" t="s">
        <v>2881</v>
      </c>
      <c r="B371" s="158" t="s">
        <v>2880</v>
      </c>
      <c r="C371" s="159" t="s">
        <v>75</v>
      </c>
      <c r="D371" s="159" t="s">
        <v>86</v>
      </c>
      <c r="E371" s="187" t="s">
        <v>285</v>
      </c>
      <c r="F371" s="2" t="s">
        <v>1908</v>
      </c>
      <c r="G371" s="493"/>
      <c r="H371" s="2"/>
    </row>
    <row r="372" spans="1:12" ht="15" customHeight="1">
      <c r="A372" s="162" t="s">
        <v>2889</v>
      </c>
      <c r="B372" s="480" t="s">
        <v>2880</v>
      </c>
      <c r="C372" s="159" t="s">
        <v>75</v>
      </c>
      <c r="D372" s="159" t="s">
        <v>86</v>
      </c>
      <c r="E372" s="187" t="s">
        <v>1909</v>
      </c>
      <c r="F372" s="160"/>
      <c r="G372" s="493"/>
      <c r="H372" s="2"/>
    </row>
    <row r="373" spans="1:12" ht="15" customHeight="1">
      <c r="A373" s="157" t="s">
        <v>608</v>
      </c>
      <c r="B373" s="158" t="s">
        <v>1372</v>
      </c>
      <c r="C373" s="159" t="s">
        <v>75</v>
      </c>
      <c r="D373" s="159" t="s">
        <v>86</v>
      </c>
      <c r="E373" s="187" t="s">
        <v>285</v>
      </c>
      <c r="F373" s="2" t="s">
        <v>1908</v>
      </c>
      <c r="G373" s="187" t="e">
        <f>+VLOOKUP(Table_1[[#This Row],[Account]],BV_Data_An_Cour!$L:$Q,6,0)</f>
        <v>#N/A</v>
      </c>
      <c r="H373" s="2"/>
    </row>
    <row r="374" spans="1:12" ht="15" customHeight="1">
      <c r="A374" s="157" t="s">
        <v>696</v>
      </c>
      <c r="B374" s="480" t="s">
        <v>1489</v>
      </c>
      <c r="C374" s="159" t="s">
        <v>75</v>
      </c>
      <c r="D374" s="159" t="s">
        <v>86</v>
      </c>
      <c r="E374" s="187" t="s">
        <v>1909</v>
      </c>
      <c r="F374" s="2"/>
      <c r="G374" s="187" t="e">
        <f>+VLOOKUP(Table_1[[#This Row],[Account]],BV_Data_An_Cour!$L:$Q,6,0)</f>
        <v>#N/A</v>
      </c>
      <c r="H374" s="2"/>
    </row>
    <row r="375" spans="1:12" ht="15" customHeight="1">
      <c r="A375" s="474" t="s">
        <v>2028</v>
      </c>
      <c r="B375" s="482" t="s">
        <v>2027</v>
      </c>
      <c r="C375" s="159" t="s">
        <v>75</v>
      </c>
      <c r="D375" s="468" t="s">
        <v>86</v>
      </c>
      <c r="E375" s="187" t="s">
        <v>285</v>
      </c>
      <c r="F375" s="2" t="s">
        <v>1908</v>
      </c>
      <c r="G375" s="187" t="e">
        <f>+VLOOKUP(Table_1[[#This Row],[Account]],BV_Data_An_Cour!$L:$Q,6,0)</f>
        <v>#N/A</v>
      </c>
      <c r="H375" s="2"/>
    </row>
    <row r="376" spans="1:12" ht="15" customHeight="1">
      <c r="A376" s="474" t="s">
        <v>2042</v>
      </c>
      <c r="B376" s="482" t="s">
        <v>2041</v>
      </c>
      <c r="C376" s="159" t="s">
        <v>75</v>
      </c>
      <c r="D376" s="468" t="s">
        <v>86</v>
      </c>
      <c r="E376" s="187" t="s">
        <v>283</v>
      </c>
      <c r="F376" s="2"/>
      <c r="G376" s="187" t="e">
        <f>+VLOOKUP(Table_1[[#This Row],[Account]],BV_Data_An_Cour!$L:$Q,6,0)</f>
        <v>#N/A</v>
      </c>
      <c r="H376" s="2"/>
    </row>
    <row r="377" spans="1:12" ht="15" customHeight="1">
      <c r="A377" s="169" t="s">
        <v>609</v>
      </c>
      <c r="B377" s="169" t="s">
        <v>1090</v>
      </c>
      <c r="C377" s="159" t="s">
        <v>75</v>
      </c>
      <c r="D377" s="159" t="s">
        <v>86</v>
      </c>
      <c r="E377" s="187" t="s">
        <v>285</v>
      </c>
      <c r="F377" s="2" t="s">
        <v>1908</v>
      </c>
      <c r="G377" s="187" t="e">
        <f>+VLOOKUP(Table_1[[#This Row],[Account]],BV_Data_An_Cour!$L:$Q,6,0)</f>
        <v>#N/A</v>
      </c>
      <c r="H377" s="2"/>
    </row>
    <row r="378" spans="1:12" ht="15" customHeight="1">
      <c r="A378" s="476" t="s">
        <v>697</v>
      </c>
      <c r="B378" s="483" t="s">
        <v>1490</v>
      </c>
      <c r="C378" s="159" t="s">
        <v>75</v>
      </c>
      <c r="D378" s="159" t="s">
        <v>86</v>
      </c>
      <c r="E378" s="187" t="s">
        <v>1909</v>
      </c>
      <c r="F378" s="2"/>
      <c r="G378" s="187" t="e">
        <f>+VLOOKUP(Table_1[[#This Row],[Account]],BV_Data_An_Cour!$L:$Q,6,0)</f>
        <v>#N/A</v>
      </c>
      <c r="H378" s="2"/>
    </row>
    <row r="379" spans="1:12" ht="15" customHeight="1">
      <c r="A379" s="158" t="s">
        <v>610</v>
      </c>
      <c r="B379" s="158" t="s">
        <v>1373</v>
      </c>
      <c r="C379" s="159" t="s">
        <v>75</v>
      </c>
      <c r="D379" s="159" t="s">
        <v>86</v>
      </c>
      <c r="E379" s="187" t="s">
        <v>285</v>
      </c>
      <c r="F379" s="2" t="s">
        <v>1908</v>
      </c>
      <c r="G379" s="187" t="e">
        <f>+VLOOKUP(Table_1[[#This Row],[Account]],BV_Data_An_Cour!$L:$Q,6,0)</f>
        <v>#N/A</v>
      </c>
      <c r="H379" s="2"/>
    </row>
    <row r="380" spans="1:12" ht="15" customHeight="1">
      <c r="A380" s="162" t="s">
        <v>698</v>
      </c>
      <c r="B380" s="163" t="s">
        <v>1491</v>
      </c>
      <c r="C380" s="159" t="s">
        <v>75</v>
      </c>
      <c r="D380" s="159" t="s">
        <v>86</v>
      </c>
      <c r="E380" s="187" t="s">
        <v>1909</v>
      </c>
      <c r="F380" s="2"/>
      <c r="G380" s="187" t="e">
        <f>+VLOOKUP(Table_1[[#This Row],[Account]],BV_Data_An_Cour!$L:$Q,6,0)</f>
        <v>#N/A</v>
      </c>
      <c r="H380" s="2"/>
    </row>
    <row r="381" spans="1:12" ht="15" customHeight="1">
      <c r="A381" s="169" t="s">
        <v>611</v>
      </c>
      <c r="B381" s="169" t="s">
        <v>1374</v>
      </c>
      <c r="C381" s="159" t="s">
        <v>75</v>
      </c>
      <c r="D381" s="159" t="s">
        <v>86</v>
      </c>
      <c r="E381" s="187" t="s">
        <v>285</v>
      </c>
      <c r="F381" s="2" t="s">
        <v>1908</v>
      </c>
      <c r="G381" s="187" t="e">
        <f>+VLOOKUP(Table_1[[#This Row],[Account]],BV_Data_An_Cour!$L:$Q,6,0)</f>
        <v>#N/A</v>
      </c>
      <c r="H381" s="2"/>
    </row>
    <row r="382" spans="1:12" ht="15" customHeight="1">
      <c r="A382" s="165" t="s">
        <v>699</v>
      </c>
      <c r="B382" s="164" t="s">
        <v>1492</v>
      </c>
      <c r="C382" s="159" t="s">
        <v>75</v>
      </c>
      <c r="D382" s="159" t="s">
        <v>86</v>
      </c>
      <c r="E382" s="187" t="s">
        <v>1909</v>
      </c>
      <c r="F382" s="2"/>
      <c r="G382" s="187" t="e">
        <f>+VLOOKUP(Table_1[[#This Row],[Account]],BV_Data_An_Cour!$L:$Q,6,0)</f>
        <v>#N/A</v>
      </c>
      <c r="H382" s="2"/>
    </row>
    <row r="383" spans="1:12" ht="15" customHeight="1">
      <c r="A383" s="479" t="s">
        <v>2379</v>
      </c>
      <c r="B383" s="480" t="s">
        <v>2378</v>
      </c>
      <c r="C383" s="159" t="s">
        <v>75</v>
      </c>
      <c r="D383" s="159" t="s">
        <v>86</v>
      </c>
      <c r="E383" s="187" t="s">
        <v>285</v>
      </c>
      <c r="F383" s="2" t="s">
        <v>1908</v>
      </c>
      <c r="G383" s="493"/>
      <c r="H383" s="2"/>
    </row>
    <row r="384" spans="1:12" ht="15" customHeight="1">
      <c r="A384" s="1192" t="s">
        <v>2383</v>
      </c>
      <c r="B384" s="1201" t="s">
        <v>2382</v>
      </c>
      <c r="C384" s="159" t="s">
        <v>75</v>
      </c>
      <c r="D384" s="159" t="s">
        <v>86</v>
      </c>
      <c r="E384" s="187" t="s">
        <v>2384</v>
      </c>
      <c r="F384" s="160"/>
      <c r="G384" s="493"/>
      <c r="H384" s="2"/>
    </row>
    <row r="385" spans="1:8" ht="15" customHeight="1">
      <c r="A385" s="476" t="s">
        <v>1376</v>
      </c>
      <c r="B385" s="483" t="s">
        <v>1375</v>
      </c>
      <c r="C385" s="159" t="s">
        <v>75</v>
      </c>
      <c r="D385" s="159" t="s">
        <v>86</v>
      </c>
      <c r="E385" s="187" t="s">
        <v>285</v>
      </c>
      <c r="F385" s="2" t="s">
        <v>1908</v>
      </c>
      <c r="G385" s="187" t="e">
        <f>+VLOOKUP(Table_1[[#This Row],[Account]],BV_Data_An_Cour!$L:$Q,6,0)</f>
        <v>#N/A</v>
      </c>
      <c r="H385" s="2"/>
    </row>
    <row r="386" spans="1:8" ht="15" customHeight="1">
      <c r="A386" s="474" t="s">
        <v>1494</v>
      </c>
      <c r="B386" s="482" t="s">
        <v>1493</v>
      </c>
      <c r="C386" s="159" t="s">
        <v>75</v>
      </c>
      <c r="D386" s="159" t="s">
        <v>86</v>
      </c>
      <c r="E386" s="187" t="s">
        <v>1909</v>
      </c>
      <c r="F386" s="2"/>
      <c r="G386" s="187" t="e">
        <f>+VLOOKUP(Table_1[[#This Row],[Account]],BV_Data_An_Cour!$L:$Q,6,0)</f>
        <v>#N/A</v>
      </c>
      <c r="H386" s="2"/>
    </row>
    <row r="387" spans="1:8" ht="15" customHeight="1">
      <c r="A387" s="474" t="s">
        <v>2030</v>
      </c>
      <c r="B387" s="482" t="s">
        <v>2029</v>
      </c>
      <c r="C387" s="159" t="s">
        <v>75</v>
      </c>
      <c r="D387" s="468" t="s">
        <v>86</v>
      </c>
      <c r="E387" s="187" t="s">
        <v>285</v>
      </c>
      <c r="F387" s="2" t="s">
        <v>1908</v>
      </c>
      <c r="G387" s="187" t="e">
        <f>+VLOOKUP(Table_1[[#This Row],[Account]],BV_Data_An_Cour!$L:$Q,6,0)</f>
        <v>#N/A</v>
      </c>
      <c r="H387" s="2"/>
    </row>
    <row r="388" spans="1:8" ht="15" customHeight="1">
      <c r="A388" s="474" t="s">
        <v>2044</v>
      </c>
      <c r="B388" s="482" t="s">
        <v>2043</v>
      </c>
      <c r="C388" s="159" t="s">
        <v>75</v>
      </c>
      <c r="D388" s="468" t="s">
        <v>86</v>
      </c>
      <c r="E388" s="187" t="s">
        <v>283</v>
      </c>
      <c r="F388" s="2"/>
      <c r="G388" s="187" t="e">
        <f>+VLOOKUP(Table_1[[#This Row],[Account]],BV_Data_An_Cour!$L:$Q,6,0)</f>
        <v>#N/A</v>
      </c>
      <c r="H388" s="2"/>
    </row>
    <row r="389" spans="1:8" ht="15" customHeight="1">
      <c r="A389" s="162" t="s">
        <v>2364</v>
      </c>
      <c r="B389" s="158" t="s">
        <v>2363</v>
      </c>
      <c r="C389" s="159" t="s">
        <v>75</v>
      </c>
      <c r="D389" s="159" t="s">
        <v>86</v>
      </c>
      <c r="E389" s="187" t="s">
        <v>285</v>
      </c>
      <c r="F389" s="2" t="s">
        <v>2154</v>
      </c>
      <c r="G389" s="493"/>
      <c r="H389" s="2"/>
    </row>
    <row r="390" spans="1:8" ht="15" customHeight="1">
      <c r="A390" s="162" t="s">
        <v>2375</v>
      </c>
      <c r="B390" s="158" t="s">
        <v>2374</v>
      </c>
      <c r="C390" s="159" t="s">
        <v>75</v>
      </c>
      <c r="D390" s="159" t="s">
        <v>86</v>
      </c>
      <c r="E390" s="187" t="s">
        <v>283</v>
      </c>
      <c r="F390" s="160"/>
      <c r="G390" s="493"/>
      <c r="H390" s="2"/>
    </row>
    <row r="391" spans="1:8" ht="15" customHeight="1">
      <c r="A391" s="162" t="s">
        <v>2876</v>
      </c>
      <c r="B391" s="158" t="s">
        <v>2875</v>
      </c>
      <c r="C391" s="159" t="s">
        <v>75</v>
      </c>
      <c r="D391" s="159" t="s">
        <v>87</v>
      </c>
      <c r="E391" s="493" t="s">
        <v>285</v>
      </c>
      <c r="F391" s="160" t="s">
        <v>2195</v>
      </c>
      <c r="G391" s="493"/>
      <c r="H391" s="2"/>
    </row>
    <row r="392" spans="1:8" ht="15" customHeight="1">
      <c r="A392" s="479" t="s">
        <v>2878</v>
      </c>
      <c r="B392" s="480" t="s">
        <v>2875</v>
      </c>
      <c r="C392" s="159" t="s">
        <v>75</v>
      </c>
      <c r="D392" s="159" t="s">
        <v>87</v>
      </c>
      <c r="E392" s="493" t="s">
        <v>283</v>
      </c>
      <c r="F392" s="160"/>
      <c r="G392" s="493"/>
      <c r="H392" s="2"/>
    </row>
    <row r="393" spans="1:8" ht="15" customHeight="1">
      <c r="A393" s="479" t="s">
        <v>2865</v>
      </c>
      <c r="B393" s="480" t="s">
        <v>2864</v>
      </c>
      <c r="C393" s="159" t="s">
        <v>75</v>
      </c>
      <c r="D393" s="159" t="s">
        <v>87</v>
      </c>
      <c r="E393" s="187" t="s">
        <v>285</v>
      </c>
      <c r="F393" s="2" t="s">
        <v>2195</v>
      </c>
      <c r="G393" s="493"/>
      <c r="H393" s="2"/>
    </row>
    <row r="394" spans="1:8" ht="15" customHeight="1">
      <c r="A394" s="479" t="s">
        <v>2867</v>
      </c>
      <c r="B394" s="480" t="s">
        <v>2864</v>
      </c>
      <c r="C394" s="159" t="s">
        <v>75</v>
      </c>
      <c r="D394" s="159" t="s">
        <v>87</v>
      </c>
      <c r="E394" s="187" t="s">
        <v>283</v>
      </c>
      <c r="F394" s="160"/>
      <c r="G394" s="493"/>
      <c r="H394" s="2"/>
    </row>
    <row r="395" spans="1:8" ht="15" customHeight="1">
      <c r="A395" s="479" t="s">
        <v>2964</v>
      </c>
      <c r="B395" s="480" t="s">
        <v>2963</v>
      </c>
      <c r="C395" s="159" t="s">
        <v>75</v>
      </c>
      <c r="D395" s="159" t="s">
        <v>87</v>
      </c>
      <c r="E395" s="187" t="s">
        <v>285</v>
      </c>
      <c r="F395" s="2" t="s">
        <v>2154</v>
      </c>
      <c r="G395" s="493"/>
      <c r="H395" s="2"/>
    </row>
    <row r="396" spans="1:8" ht="15" customHeight="1">
      <c r="A396" s="479" t="s">
        <v>2966</v>
      </c>
      <c r="B396" s="480" t="s">
        <v>2963</v>
      </c>
      <c r="C396" s="159" t="s">
        <v>75</v>
      </c>
      <c r="D396" s="159" t="s">
        <v>87</v>
      </c>
      <c r="E396" s="187" t="s">
        <v>1909</v>
      </c>
      <c r="F396" s="160"/>
      <c r="G396" s="493"/>
      <c r="H396" s="2"/>
    </row>
    <row r="397" spans="1:8" ht="15" customHeight="1">
      <c r="A397" s="475" t="s">
        <v>612</v>
      </c>
      <c r="B397" s="480" t="s">
        <v>1089</v>
      </c>
      <c r="C397" s="159" t="s">
        <v>75</v>
      </c>
      <c r="D397" s="159" t="s">
        <v>86</v>
      </c>
      <c r="E397" s="187" t="s">
        <v>285</v>
      </c>
      <c r="F397" s="2" t="s">
        <v>1908</v>
      </c>
      <c r="G397" s="187" t="e">
        <f>+VLOOKUP(Table_1[[#This Row],[Account]],BV_Data_An_Cour!$L:$Q,6,0)</f>
        <v>#N/A</v>
      </c>
      <c r="H397" s="2"/>
    </row>
    <row r="398" spans="1:8" ht="15" customHeight="1">
      <c r="A398" s="479" t="s">
        <v>700</v>
      </c>
      <c r="B398" s="478" t="s">
        <v>1037</v>
      </c>
      <c r="C398" s="159" t="s">
        <v>75</v>
      </c>
      <c r="D398" s="159" t="s">
        <v>86</v>
      </c>
      <c r="E398" s="187" t="s">
        <v>1909</v>
      </c>
      <c r="F398" s="2"/>
      <c r="G398" s="187" t="e">
        <f>+VLOOKUP(Table_1[[#This Row],[Account]],BV_Data_An_Cour!$L:$Q,6,0)</f>
        <v>#N/A</v>
      </c>
      <c r="H398" s="2"/>
    </row>
    <row r="399" spans="1:8" ht="15" customHeight="1">
      <c r="A399" s="479" t="s">
        <v>2168</v>
      </c>
      <c r="B399" s="480" t="s">
        <v>2167</v>
      </c>
      <c r="C399" s="159" t="s">
        <v>75</v>
      </c>
      <c r="D399" s="159" t="s">
        <v>86</v>
      </c>
      <c r="E399" s="187" t="s">
        <v>285</v>
      </c>
      <c r="F399" s="2" t="s">
        <v>2154</v>
      </c>
      <c r="G399" s="187" t="e">
        <f>+VLOOKUP(Table_1[[#This Row],[Account]],BV_Data_An_Cour!$L:$Q,6,0)</f>
        <v>#N/A</v>
      </c>
      <c r="H399" s="2"/>
    </row>
    <row r="400" spans="1:8" ht="15" customHeight="1">
      <c r="A400" s="479" t="s">
        <v>2172</v>
      </c>
      <c r="B400" s="480" t="s">
        <v>2171</v>
      </c>
      <c r="C400" s="159" t="s">
        <v>75</v>
      </c>
      <c r="D400" s="159" t="s">
        <v>86</v>
      </c>
      <c r="E400" s="187" t="s">
        <v>1909</v>
      </c>
      <c r="F400" s="160"/>
      <c r="G400" s="187" t="e">
        <f>+VLOOKUP(Table_1[[#This Row],[Account]],BV_Data_An_Cour!$L:$Q,6,0)</f>
        <v>#N/A</v>
      </c>
      <c r="H400" s="2"/>
    </row>
    <row r="401" spans="1:8" ht="15" customHeight="1">
      <c r="A401" s="474" t="s">
        <v>1925</v>
      </c>
      <c r="B401" s="482" t="s">
        <v>1924</v>
      </c>
      <c r="C401" s="159" t="s">
        <v>75</v>
      </c>
      <c r="D401" s="159" t="s">
        <v>86</v>
      </c>
      <c r="E401" s="187" t="s">
        <v>285</v>
      </c>
      <c r="F401" s="2" t="s">
        <v>1908</v>
      </c>
      <c r="G401" s="187" t="e">
        <f>+VLOOKUP(Table_1[[#This Row],[Account]],BV_Data_An_Cour!$L:$Q,6,0)</f>
        <v>#N/A</v>
      </c>
      <c r="H401" s="2"/>
    </row>
    <row r="402" spans="1:8" ht="15" customHeight="1">
      <c r="A402" s="474" t="s">
        <v>1927</v>
      </c>
      <c r="B402" s="163" t="s">
        <v>1924</v>
      </c>
      <c r="C402" s="159" t="s">
        <v>75</v>
      </c>
      <c r="D402" s="159" t="s">
        <v>86</v>
      </c>
      <c r="E402" s="187" t="s">
        <v>1909</v>
      </c>
      <c r="F402" s="2"/>
      <c r="G402" s="187" t="e">
        <f>+VLOOKUP(Table_1[[#This Row],[Account]],BV_Data_An_Cour!$L:$Q,6,0)</f>
        <v>#N/A</v>
      </c>
      <c r="H402" s="2"/>
    </row>
    <row r="403" spans="1:8" ht="15" customHeight="1">
      <c r="A403" s="162" t="s">
        <v>2494</v>
      </c>
      <c r="B403" s="158" t="s">
        <v>2493</v>
      </c>
      <c r="C403" s="159" t="s">
        <v>75</v>
      </c>
      <c r="D403" s="159" t="s">
        <v>86</v>
      </c>
      <c r="E403" s="187" t="s">
        <v>285</v>
      </c>
      <c r="F403" s="2" t="s">
        <v>2154</v>
      </c>
      <c r="G403" s="493"/>
      <c r="H403" s="2"/>
    </row>
    <row r="404" spans="1:8" ht="15" customHeight="1">
      <c r="A404" s="479" t="s">
        <v>2502</v>
      </c>
      <c r="B404" s="480" t="s">
        <v>2501</v>
      </c>
      <c r="C404" s="159" t="s">
        <v>75</v>
      </c>
      <c r="D404" s="159" t="s">
        <v>86</v>
      </c>
      <c r="E404" s="187" t="s">
        <v>283</v>
      </c>
      <c r="F404" s="160"/>
      <c r="G404" s="493"/>
      <c r="H404" s="2"/>
    </row>
    <row r="405" spans="1:8" ht="15" customHeight="1">
      <c r="A405" s="162" t="s">
        <v>1979</v>
      </c>
      <c r="B405" s="163" t="s">
        <v>1978</v>
      </c>
      <c r="C405" s="159" t="s">
        <v>75</v>
      </c>
      <c r="D405" s="159" t="s">
        <v>86</v>
      </c>
      <c r="E405" s="187" t="s">
        <v>285</v>
      </c>
      <c r="F405" s="2" t="s">
        <v>1908</v>
      </c>
      <c r="G405" s="187" t="s">
        <v>2006</v>
      </c>
      <c r="H405" s="2"/>
    </row>
    <row r="406" spans="1:8" ht="15" customHeight="1">
      <c r="A406" s="479" t="s">
        <v>1981</v>
      </c>
      <c r="B406" s="478" t="s">
        <v>1978</v>
      </c>
      <c r="C406" s="159" t="s">
        <v>75</v>
      </c>
      <c r="D406" s="159" t="s">
        <v>86</v>
      </c>
      <c r="E406" s="187" t="s">
        <v>283</v>
      </c>
      <c r="F406" s="2"/>
      <c r="G406" s="187" t="str">
        <f>+VLOOKUP(Table_1[[#This Row],[Account]],BV_Data_An_Cour!$L:$Q,6,0)</f>
        <v>10-Compte compteur</v>
      </c>
      <c r="H406" s="2"/>
    </row>
    <row r="407" spans="1:8" ht="15" customHeight="1">
      <c r="A407" s="479" t="s">
        <v>991</v>
      </c>
      <c r="B407" s="478" t="s">
        <v>1377</v>
      </c>
      <c r="C407" s="159" t="s">
        <v>75</v>
      </c>
      <c r="D407" s="159" t="s">
        <v>86</v>
      </c>
      <c r="E407" s="187" t="s">
        <v>285</v>
      </c>
      <c r="F407" s="2" t="s">
        <v>1908</v>
      </c>
      <c r="G407" s="187" t="e">
        <f>+VLOOKUP(Table_1[[#This Row],[Account]],BV_Data_An_Cour!$L:$Q,6,0)</f>
        <v>#N/A</v>
      </c>
      <c r="H407" s="2"/>
    </row>
    <row r="408" spans="1:8" ht="15" customHeight="1">
      <c r="A408" s="479" t="s">
        <v>1002</v>
      </c>
      <c r="B408" s="480" t="s">
        <v>1495</v>
      </c>
      <c r="C408" s="159" t="s">
        <v>75</v>
      </c>
      <c r="D408" s="159" t="s">
        <v>86</v>
      </c>
      <c r="E408" s="187" t="s">
        <v>1909</v>
      </c>
      <c r="F408" s="2"/>
      <c r="G408" s="187" t="e">
        <f>+VLOOKUP(Table_1[[#This Row],[Account]],BV_Data_An_Cour!$L:$Q,6,0)</f>
        <v>#N/A</v>
      </c>
      <c r="H408" s="2"/>
    </row>
    <row r="409" spans="1:8" ht="15" customHeight="1">
      <c r="A409" s="165" t="s">
        <v>613</v>
      </c>
      <c r="B409" s="164" t="s">
        <v>1862</v>
      </c>
      <c r="C409" s="159" t="s">
        <v>75</v>
      </c>
      <c r="D409" s="159" t="s">
        <v>86</v>
      </c>
      <c r="E409" s="187" t="s">
        <v>285</v>
      </c>
      <c r="F409" s="2" t="s">
        <v>1908</v>
      </c>
      <c r="G409" s="187" t="e">
        <f>+VLOOKUP(Table_1[[#This Row],[Account]],BV_Data_An_Cour!$L:$Q,6,0)</f>
        <v>#N/A</v>
      </c>
      <c r="H409" s="2"/>
    </row>
    <row r="410" spans="1:8" ht="15" customHeight="1">
      <c r="A410" s="1209" t="s">
        <v>701</v>
      </c>
      <c r="B410" s="164" t="s">
        <v>1877</v>
      </c>
      <c r="C410" s="159" t="s">
        <v>75</v>
      </c>
      <c r="D410" s="468" t="s">
        <v>86</v>
      </c>
      <c r="E410" s="187" t="s">
        <v>1909</v>
      </c>
      <c r="F410" s="2"/>
      <c r="G410" s="187" t="e">
        <f>+VLOOKUP(Table_1[[#This Row],[Account]],BV_Data_An_Cour!$L:$Q,6,0)</f>
        <v>#N/A</v>
      </c>
      <c r="H410" s="2"/>
    </row>
    <row r="411" spans="1:8" ht="15" customHeight="1">
      <c r="A411" s="478" t="s">
        <v>1379</v>
      </c>
      <c r="B411" s="164" t="s">
        <v>1378</v>
      </c>
      <c r="C411" s="159" t="s">
        <v>75</v>
      </c>
      <c r="D411" s="159" t="s">
        <v>86</v>
      </c>
      <c r="E411" s="187" t="s">
        <v>285</v>
      </c>
      <c r="F411" s="2" t="s">
        <v>1908</v>
      </c>
      <c r="G411" s="187" t="e">
        <f>+VLOOKUP(Table_1[[#This Row],[Account]],BV_Data_An_Cour!$L:$Q,6,0)</f>
        <v>#N/A</v>
      </c>
      <c r="H411" s="2"/>
    </row>
    <row r="412" spans="1:8" ht="15" customHeight="1">
      <c r="A412" s="168" t="s">
        <v>1497</v>
      </c>
      <c r="B412" s="169" t="s">
        <v>1496</v>
      </c>
      <c r="C412" s="159" t="s">
        <v>75</v>
      </c>
      <c r="D412" s="159" t="s">
        <v>86</v>
      </c>
      <c r="E412" s="187" t="s">
        <v>1909</v>
      </c>
      <c r="F412" s="2"/>
      <c r="G412" s="187" t="e">
        <f>+VLOOKUP(Table_1[[#This Row],[Account]],BV_Data_An_Cour!$L:$Q,6,0)</f>
        <v>#N/A</v>
      </c>
      <c r="H412" s="2"/>
    </row>
    <row r="413" spans="1:8" ht="15" customHeight="1">
      <c r="A413" s="479" t="s">
        <v>2911</v>
      </c>
      <c r="B413" s="480" t="s">
        <v>2910</v>
      </c>
      <c r="C413" s="159" t="s">
        <v>75</v>
      </c>
      <c r="D413" s="159" t="s">
        <v>86</v>
      </c>
      <c r="E413" s="187" t="s">
        <v>285</v>
      </c>
      <c r="F413" s="2" t="s">
        <v>2154</v>
      </c>
      <c r="G413" s="493"/>
      <c r="H413" s="2"/>
    </row>
    <row r="414" spans="1:8" ht="15" customHeight="1">
      <c r="A414" s="162" t="s">
        <v>2919</v>
      </c>
      <c r="B414" s="158" t="s">
        <v>2918</v>
      </c>
      <c r="C414" s="159" t="s">
        <v>75</v>
      </c>
      <c r="D414" s="159" t="s">
        <v>86</v>
      </c>
      <c r="E414" s="187" t="s">
        <v>1909</v>
      </c>
      <c r="F414" s="160"/>
      <c r="G414" s="493"/>
      <c r="H414" s="2"/>
    </row>
    <row r="415" spans="1:8" ht="15" customHeight="1">
      <c r="A415" s="479" t="s">
        <v>2883</v>
      </c>
      <c r="B415" s="480" t="s">
        <v>2882</v>
      </c>
      <c r="C415" s="159" t="s">
        <v>75</v>
      </c>
      <c r="D415" s="159" t="s">
        <v>86</v>
      </c>
      <c r="E415" s="187" t="s">
        <v>285</v>
      </c>
      <c r="F415" s="2" t="s">
        <v>1908</v>
      </c>
      <c r="G415" s="493"/>
      <c r="H415" s="2"/>
    </row>
    <row r="416" spans="1:8" ht="15" customHeight="1">
      <c r="A416" s="479" t="s">
        <v>2891</v>
      </c>
      <c r="B416" s="480" t="s">
        <v>2890</v>
      </c>
      <c r="C416" s="159" t="s">
        <v>75</v>
      </c>
      <c r="D416" s="159" t="s">
        <v>86</v>
      </c>
      <c r="E416" s="187" t="s">
        <v>1909</v>
      </c>
      <c r="F416" s="160"/>
      <c r="G416" s="493"/>
      <c r="H416" s="2"/>
    </row>
    <row r="417" spans="1:8" ht="15" customHeight="1">
      <c r="A417" s="479" t="s">
        <v>2496</v>
      </c>
      <c r="B417" s="480" t="s">
        <v>2495</v>
      </c>
      <c r="C417" s="159" t="s">
        <v>75</v>
      </c>
      <c r="D417" s="159" t="s">
        <v>86</v>
      </c>
      <c r="E417" s="187" t="s">
        <v>285</v>
      </c>
      <c r="F417" s="2" t="s">
        <v>2154</v>
      </c>
      <c r="G417" s="493"/>
      <c r="H417" s="2"/>
    </row>
    <row r="418" spans="1:8" ht="15" customHeight="1">
      <c r="A418" s="479" t="s">
        <v>2504</v>
      </c>
      <c r="B418" s="480" t="s">
        <v>2503</v>
      </c>
      <c r="C418" s="159" t="s">
        <v>75</v>
      </c>
      <c r="D418" s="159" t="s">
        <v>86</v>
      </c>
      <c r="E418" s="187" t="s">
        <v>283</v>
      </c>
      <c r="F418" s="160"/>
      <c r="G418" s="493"/>
      <c r="H418" s="2"/>
    </row>
    <row r="419" spans="1:8" ht="15" customHeight="1">
      <c r="A419" s="479" t="s">
        <v>2974</v>
      </c>
      <c r="B419" s="480" t="s">
        <v>2973</v>
      </c>
      <c r="C419" s="159" t="s">
        <v>75</v>
      </c>
      <c r="D419" s="159" t="s">
        <v>86</v>
      </c>
      <c r="E419" s="493" t="s">
        <v>285</v>
      </c>
      <c r="F419" s="160" t="s">
        <v>2154</v>
      </c>
      <c r="G419" s="493"/>
      <c r="H419" s="2"/>
    </row>
    <row r="420" spans="1:8" ht="15" customHeight="1">
      <c r="A420" s="479" t="s">
        <v>2978</v>
      </c>
      <c r="B420" s="480" t="s">
        <v>2977</v>
      </c>
      <c r="C420" s="159" t="s">
        <v>75</v>
      </c>
      <c r="D420" s="159" t="s">
        <v>86</v>
      </c>
      <c r="E420" s="493" t="s">
        <v>1909</v>
      </c>
      <c r="F420" s="160"/>
      <c r="G420" s="493"/>
      <c r="H420" s="2"/>
    </row>
    <row r="421" spans="1:8" ht="15" customHeight="1">
      <c r="A421" s="477" t="s">
        <v>410</v>
      </c>
      <c r="B421" s="481" t="s">
        <v>1081</v>
      </c>
      <c r="C421" s="159" t="s">
        <v>75</v>
      </c>
      <c r="D421" s="159" t="s">
        <v>87</v>
      </c>
      <c r="E421" s="187" t="s">
        <v>285</v>
      </c>
      <c r="F421" s="2" t="s">
        <v>1908</v>
      </c>
      <c r="G421" s="187" t="str">
        <f>+VLOOKUP(Table_1[[#This Row],[Account]],BV_Data_An_Cour!$L:$Q,6,0)</f>
        <v>5-Ventes</v>
      </c>
      <c r="H421" s="2"/>
    </row>
    <row r="422" spans="1:8" ht="15" customHeight="1">
      <c r="A422" s="162" t="s">
        <v>702</v>
      </c>
      <c r="B422" s="163" t="s">
        <v>1498</v>
      </c>
      <c r="C422" s="159" t="s">
        <v>75</v>
      </c>
      <c r="D422" s="159" t="s">
        <v>87</v>
      </c>
      <c r="E422" s="187" t="s">
        <v>1909</v>
      </c>
      <c r="F422" s="2"/>
      <c r="G422" s="187" t="str">
        <f>+VLOOKUP(Table_1[[#This Row],[Account]],BV_Data_An_Cour!$L:$Q,6,0)</f>
        <v>10-Compte compteur</v>
      </c>
      <c r="H422" s="2"/>
    </row>
    <row r="423" spans="1:8" ht="15" customHeight="1">
      <c r="A423" s="479" t="s">
        <v>2527</v>
      </c>
      <c r="B423" s="480" t="s">
        <v>2526</v>
      </c>
      <c r="C423" s="159" t="s">
        <v>75</v>
      </c>
      <c r="D423" s="159" t="s">
        <v>87</v>
      </c>
      <c r="E423" s="187" t="s">
        <v>285</v>
      </c>
      <c r="F423" s="2" t="s">
        <v>1908</v>
      </c>
      <c r="G423" s="493"/>
      <c r="H423" s="2"/>
    </row>
    <row r="424" spans="1:8" ht="15" customHeight="1">
      <c r="A424" s="162" t="s">
        <v>2535</v>
      </c>
      <c r="B424" s="158" t="s">
        <v>2534</v>
      </c>
      <c r="C424" s="159" t="s">
        <v>75</v>
      </c>
      <c r="D424" s="159" t="s">
        <v>87</v>
      </c>
      <c r="E424" s="187" t="s">
        <v>283</v>
      </c>
      <c r="F424" s="160"/>
      <c r="G424" s="493"/>
      <c r="H424" s="2"/>
    </row>
    <row r="425" spans="1:8" ht="15" customHeight="1">
      <c r="A425" s="477" t="s">
        <v>614</v>
      </c>
      <c r="B425" s="481" t="s">
        <v>1380</v>
      </c>
      <c r="C425" s="159" t="s">
        <v>75</v>
      </c>
      <c r="D425" s="159" t="s">
        <v>87</v>
      </c>
      <c r="E425" s="187" t="s">
        <v>285</v>
      </c>
      <c r="F425" s="2" t="s">
        <v>1908</v>
      </c>
      <c r="G425" s="187" t="e">
        <f>+VLOOKUP(Table_1[[#This Row],[Account]],BV_Data_An_Cour!$L:$Q,6,0)</f>
        <v>#N/A</v>
      </c>
      <c r="H425" s="2"/>
    </row>
    <row r="426" spans="1:8" ht="15" customHeight="1">
      <c r="A426" s="479" t="s">
        <v>703</v>
      </c>
      <c r="B426" s="478" t="s">
        <v>1038</v>
      </c>
      <c r="C426" s="159" t="s">
        <v>75</v>
      </c>
      <c r="D426" s="159" t="s">
        <v>87</v>
      </c>
      <c r="E426" s="187" t="s">
        <v>1909</v>
      </c>
      <c r="F426" s="2"/>
      <c r="G426" s="187" t="e">
        <f>+VLOOKUP(Table_1[[#This Row],[Account]],BV_Data_An_Cour!$L:$Q,6,0)</f>
        <v>#N/A</v>
      </c>
      <c r="H426" s="2"/>
    </row>
    <row r="427" spans="1:8" ht="15" customHeight="1">
      <c r="A427" s="479" t="s">
        <v>615</v>
      </c>
      <c r="B427" s="478" t="s">
        <v>1381</v>
      </c>
      <c r="C427" s="159" t="s">
        <v>75</v>
      </c>
      <c r="D427" s="159" t="s">
        <v>87</v>
      </c>
      <c r="E427" s="187" t="s">
        <v>285</v>
      </c>
      <c r="F427" s="2" t="s">
        <v>1908</v>
      </c>
      <c r="G427" s="187" t="e">
        <f>+VLOOKUP(Table_1[[#This Row],[Account]],BV_Data_An_Cour!$L:$Q,6,0)</f>
        <v>#N/A</v>
      </c>
      <c r="H427" s="2"/>
    </row>
    <row r="428" spans="1:8" ht="15" customHeight="1">
      <c r="A428" s="170" t="s">
        <v>704</v>
      </c>
      <c r="B428" s="171" t="s">
        <v>1499</v>
      </c>
      <c r="C428" s="159" t="s">
        <v>75</v>
      </c>
      <c r="D428" s="159" t="s">
        <v>87</v>
      </c>
      <c r="E428" s="187" t="s">
        <v>1909</v>
      </c>
      <c r="F428" s="2"/>
      <c r="G428" s="187" t="e">
        <f>+VLOOKUP(Table_1[[#This Row],[Account]],BV_Data_An_Cour!$L:$Q,6,0)</f>
        <v>#N/A</v>
      </c>
      <c r="H428" s="2"/>
    </row>
    <row r="429" spans="1:8" ht="15" customHeight="1">
      <c r="A429" s="477" t="s">
        <v>616</v>
      </c>
      <c r="B429" s="481" t="s">
        <v>1094</v>
      </c>
      <c r="C429" s="159" t="s">
        <v>75</v>
      </c>
      <c r="D429" s="159" t="s">
        <v>91</v>
      </c>
      <c r="E429" s="187" t="s">
        <v>285</v>
      </c>
      <c r="F429" s="2" t="s">
        <v>1908</v>
      </c>
      <c r="G429" s="187" t="e">
        <f>+VLOOKUP(Table_1[[#This Row],[Account]],BV_Data_An_Cour!$L:$Q,6,0)</f>
        <v>#N/A</v>
      </c>
      <c r="H429" s="2"/>
    </row>
    <row r="430" spans="1:8" ht="15" customHeight="1">
      <c r="A430" s="477" t="s">
        <v>705</v>
      </c>
      <c r="B430" s="481" t="s">
        <v>1500</v>
      </c>
      <c r="C430" s="159" t="s">
        <v>75</v>
      </c>
      <c r="D430" s="159" t="s">
        <v>91</v>
      </c>
      <c r="E430" s="187" t="s">
        <v>1909</v>
      </c>
      <c r="F430" s="2"/>
      <c r="G430" s="187" t="e">
        <f>+VLOOKUP(Table_1[[#This Row],[Account]],BV_Data_An_Cour!$L:$Q,6,0)</f>
        <v>#N/A</v>
      </c>
      <c r="H430" s="2"/>
    </row>
    <row r="431" spans="1:8" ht="15" customHeight="1">
      <c r="A431" s="169" t="s">
        <v>409</v>
      </c>
      <c r="B431" s="169" t="s">
        <v>1382</v>
      </c>
      <c r="C431" s="159" t="s">
        <v>75</v>
      </c>
      <c r="D431" s="159" t="s">
        <v>91</v>
      </c>
      <c r="E431" s="187" t="s">
        <v>285</v>
      </c>
      <c r="F431" s="2" t="s">
        <v>1908</v>
      </c>
      <c r="G431" s="187" t="e">
        <f>+VLOOKUP(Table_1[[#This Row],[Account]],BV_Data_An_Cour!$L:$Q,6,0)</f>
        <v>#N/A</v>
      </c>
      <c r="H431" s="2"/>
    </row>
    <row r="432" spans="1:8" ht="15" customHeight="1">
      <c r="A432" s="481" t="s">
        <v>706</v>
      </c>
      <c r="B432" s="481" t="s">
        <v>1501</v>
      </c>
      <c r="C432" s="159" t="s">
        <v>75</v>
      </c>
      <c r="D432" s="159" t="s">
        <v>91</v>
      </c>
      <c r="E432" s="187" t="s">
        <v>1909</v>
      </c>
      <c r="F432" s="2"/>
      <c r="G432" s="187" t="e">
        <f>+VLOOKUP(Table_1[[#This Row],[Account]],BV_Data_An_Cour!$L:$Q,6,0)</f>
        <v>#N/A</v>
      </c>
      <c r="H432" s="2"/>
    </row>
    <row r="433" spans="1:8" ht="15" customHeight="1">
      <c r="A433" s="168" t="s">
        <v>423</v>
      </c>
      <c r="B433" s="169" t="s">
        <v>1383</v>
      </c>
      <c r="C433" s="159" t="s">
        <v>75</v>
      </c>
      <c r="D433" s="159" t="s">
        <v>92</v>
      </c>
      <c r="E433" s="187" t="s">
        <v>285</v>
      </c>
      <c r="F433" s="2" t="s">
        <v>1908</v>
      </c>
      <c r="G433" s="187" t="str">
        <f>+VLOOKUP(Table_1[[#This Row],[Account]],BV_Data_An_Cour!$L:$Q,6,0)</f>
        <v>5-Ventes</v>
      </c>
      <c r="H433" s="2"/>
    </row>
    <row r="434" spans="1:8" ht="15" customHeight="1">
      <c r="A434" s="170" t="s">
        <v>707</v>
      </c>
      <c r="B434" s="171" t="s">
        <v>1502</v>
      </c>
      <c r="C434" s="159" t="s">
        <v>75</v>
      </c>
      <c r="D434" s="159" t="s">
        <v>92</v>
      </c>
      <c r="E434" s="187" t="s">
        <v>1909</v>
      </c>
      <c r="F434" s="2"/>
      <c r="G434" s="187" t="str">
        <f>+VLOOKUP(Table_1[[#This Row],[Account]],BV_Data_An_Cour!$L:$Q,6,0)</f>
        <v>10-Compte compteur</v>
      </c>
      <c r="H434" s="2"/>
    </row>
    <row r="435" spans="1:8" ht="15" customHeight="1">
      <c r="A435" s="477" t="s">
        <v>412</v>
      </c>
      <c r="B435" s="481" t="s">
        <v>1384</v>
      </c>
      <c r="C435" s="159" t="s">
        <v>75</v>
      </c>
      <c r="D435" s="159" t="s">
        <v>92</v>
      </c>
      <c r="E435" s="187" t="s">
        <v>285</v>
      </c>
      <c r="F435" s="2" t="s">
        <v>1908</v>
      </c>
      <c r="G435" s="187" t="str">
        <f>+VLOOKUP(Table_1[[#This Row],[Account]],BV_Data_An_Cour!$L:$Q,6,0)</f>
        <v>5-Ventes</v>
      </c>
      <c r="H435" s="2"/>
    </row>
    <row r="436" spans="1:8" ht="15" customHeight="1">
      <c r="A436" s="481" t="s">
        <v>708</v>
      </c>
      <c r="B436" s="481" t="s">
        <v>1503</v>
      </c>
      <c r="C436" s="159" t="s">
        <v>75</v>
      </c>
      <c r="D436" s="159" t="s">
        <v>92</v>
      </c>
      <c r="E436" s="187" t="s">
        <v>1909</v>
      </c>
      <c r="F436" s="2"/>
      <c r="G436" s="187" t="str">
        <f>+VLOOKUP(Table_1[[#This Row],[Account]],BV_Data_An_Cour!$L:$Q,6,0)</f>
        <v>10-Compte compteur</v>
      </c>
      <c r="H436" s="2"/>
    </row>
    <row r="437" spans="1:8" ht="15" customHeight="1">
      <c r="A437" s="479" t="s">
        <v>2091</v>
      </c>
      <c r="B437" s="478" t="s">
        <v>2092</v>
      </c>
      <c r="C437" s="159" t="s">
        <v>75</v>
      </c>
      <c r="D437" s="159" t="s">
        <v>86</v>
      </c>
      <c r="E437" s="187" t="s">
        <v>285</v>
      </c>
      <c r="F437" s="2" t="s">
        <v>1908</v>
      </c>
      <c r="G437" s="187" t="e">
        <f>+VLOOKUP(Table_1[[#This Row],[Account]],BV_Data_An_Cour!$L:$Q,6,0)</f>
        <v>#N/A</v>
      </c>
      <c r="H437" s="2"/>
    </row>
    <row r="438" spans="1:8" ht="15" customHeight="1">
      <c r="A438" s="477" t="s">
        <v>2105</v>
      </c>
      <c r="B438" s="481" t="s">
        <v>2106</v>
      </c>
      <c r="C438" s="159" t="s">
        <v>75</v>
      </c>
      <c r="D438" s="159" t="s">
        <v>86</v>
      </c>
      <c r="E438" s="155" t="s">
        <v>1909</v>
      </c>
      <c r="G438" s="187" t="e">
        <f>+VLOOKUP(Table_1[[#This Row],[Account]],BV_Data_An_Cour!$L:$Q,6,0)</f>
        <v>#N/A</v>
      </c>
      <c r="H438" s="2"/>
    </row>
    <row r="439" spans="1:8" ht="15" customHeight="1">
      <c r="A439" s="478" t="s">
        <v>2116</v>
      </c>
      <c r="B439" s="478" t="s">
        <v>2115</v>
      </c>
      <c r="C439" s="159" t="s">
        <v>75</v>
      </c>
      <c r="D439" s="159" t="s">
        <v>86</v>
      </c>
      <c r="E439" s="187" t="s">
        <v>285</v>
      </c>
      <c r="F439" s="2" t="s">
        <v>1908</v>
      </c>
      <c r="G439" s="187" t="e">
        <f>+VLOOKUP(Table_1[[#This Row],[Account]],BV_Data_An_Cour!$L:$Q,6,0)</f>
        <v>#N/A</v>
      </c>
      <c r="H439" s="2"/>
    </row>
    <row r="440" spans="1:8" ht="15" customHeight="1">
      <c r="A440" s="163" t="s">
        <v>2122</v>
      </c>
      <c r="B440" s="163" t="s">
        <v>2121</v>
      </c>
      <c r="C440" s="159" t="s">
        <v>75</v>
      </c>
      <c r="D440" s="159" t="s">
        <v>86</v>
      </c>
      <c r="E440" s="187" t="s">
        <v>283</v>
      </c>
      <c r="F440" s="2"/>
      <c r="G440" s="187" t="e">
        <f>+VLOOKUP(Table_1[[#This Row],[Account]],BV_Data_An_Cour!$L:$Q,6,0)</f>
        <v>#N/A</v>
      </c>
      <c r="H440" s="2"/>
    </row>
    <row r="441" spans="1:8" ht="15" customHeight="1">
      <c r="A441" s="168" t="s">
        <v>419</v>
      </c>
      <c r="B441" s="169" t="s">
        <v>1385</v>
      </c>
      <c r="C441" s="159" t="s">
        <v>75</v>
      </c>
      <c r="D441" s="159" t="s">
        <v>87</v>
      </c>
      <c r="E441" s="187" t="s">
        <v>285</v>
      </c>
      <c r="F441" s="2" t="s">
        <v>1908</v>
      </c>
      <c r="G441" s="187" t="e">
        <f>+VLOOKUP(Table_1[[#This Row],[Account]],BV_Data_An_Cour!$L:$Q,6,0)</f>
        <v>#N/A</v>
      </c>
      <c r="H441" s="2"/>
    </row>
    <row r="442" spans="1:8" ht="15" customHeight="1">
      <c r="A442" s="162" t="s">
        <v>709</v>
      </c>
      <c r="B442" s="163" t="s">
        <v>1504</v>
      </c>
      <c r="C442" s="159" t="s">
        <v>75</v>
      </c>
      <c r="D442" s="159" t="s">
        <v>87</v>
      </c>
      <c r="E442" s="187" t="s">
        <v>1909</v>
      </c>
      <c r="F442" s="2"/>
      <c r="G442" s="187" t="e">
        <f>+VLOOKUP(Table_1[[#This Row],[Account]],BV_Data_An_Cour!$L:$Q,6,0)</f>
        <v>#N/A</v>
      </c>
      <c r="H442" s="2"/>
    </row>
    <row r="443" spans="1:8" ht="15" customHeight="1">
      <c r="A443" s="162" t="s">
        <v>2388</v>
      </c>
      <c r="B443" s="158" t="s">
        <v>2387</v>
      </c>
      <c r="C443" s="159" t="s">
        <v>75</v>
      </c>
      <c r="D443" s="159" t="s">
        <v>87</v>
      </c>
      <c r="E443" s="493" t="s">
        <v>285</v>
      </c>
      <c r="F443" s="160" t="s">
        <v>1908</v>
      </c>
      <c r="G443" s="493"/>
      <c r="H443" s="2"/>
    </row>
    <row r="444" spans="1:8" ht="15" customHeight="1">
      <c r="A444" s="162" t="s">
        <v>2398</v>
      </c>
      <c r="B444" s="158" t="s">
        <v>2397</v>
      </c>
      <c r="C444" s="159" t="s">
        <v>75</v>
      </c>
      <c r="D444" s="159" t="s">
        <v>87</v>
      </c>
      <c r="E444" s="187" t="s">
        <v>283</v>
      </c>
      <c r="F444" s="160"/>
      <c r="G444" s="493"/>
      <c r="H444" s="2"/>
    </row>
    <row r="445" spans="1:8" ht="15" customHeight="1">
      <c r="A445" s="162" t="s">
        <v>2550</v>
      </c>
      <c r="B445" s="158" t="s">
        <v>2549</v>
      </c>
      <c r="C445" s="159" t="s">
        <v>75</v>
      </c>
      <c r="D445" s="159" t="s">
        <v>87</v>
      </c>
      <c r="E445" s="187" t="s">
        <v>285</v>
      </c>
      <c r="F445" s="2" t="s">
        <v>2154</v>
      </c>
      <c r="G445" s="493"/>
      <c r="H445" s="2"/>
    </row>
    <row r="446" spans="1:8" ht="15" customHeight="1">
      <c r="A446" s="162" t="s">
        <v>2554</v>
      </c>
      <c r="B446" s="158" t="s">
        <v>2553</v>
      </c>
      <c r="C446" s="159" t="s">
        <v>75</v>
      </c>
      <c r="D446" s="159" t="s">
        <v>87</v>
      </c>
      <c r="E446" s="187" t="s">
        <v>283</v>
      </c>
      <c r="F446" s="160"/>
      <c r="G446" s="493"/>
      <c r="H446" s="2"/>
    </row>
    <row r="447" spans="1:8" ht="15" customHeight="1">
      <c r="A447" s="476" t="s">
        <v>402</v>
      </c>
      <c r="B447" s="483" t="s">
        <v>1075</v>
      </c>
      <c r="C447" s="159" t="s">
        <v>75</v>
      </c>
      <c r="D447" s="159" t="s">
        <v>87</v>
      </c>
      <c r="E447" s="187" t="s">
        <v>285</v>
      </c>
      <c r="F447" s="2" t="s">
        <v>1908</v>
      </c>
      <c r="G447" s="187" t="e">
        <f>+VLOOKUP(Table_1[[#This Row],[Account]],BV_Data_An_Cour!$L:$Q,6,0)</f>
        <v>#N/A</v>
      </c>
      <c r="H447" s="2"/>
    </row>
    <row r="448" spans="1:8" ht="15" customHeight="1">
      <c r="A448" s="168" t="s">
        <v>710</v>
      </c>
      <c r="B448" s="169" t="s">
        <v>1039</v>
      </c>
      <c r="C448" s="159" t="s">
        <v>75</v>
      </c>
      <c r="D448" s="159" t="s">
        <v>87</v>
      </c>
      <c r="E448" s="187" t="s">
        <v>1909</v>
      </c>
      <c r="F448" s="2"/>
      <c r="G448" s="187" t="e">
        <f>+VLOOKUP(Table_1[[#This Row],[Account]],BV_Data_An_Cour!$L:$Q,6,0)</f>
        <v>#N/A</v>
      </c>
      <c r="H448" s="2"/>
    </row>
    <row r="449" spans="1:29" ht="15" customHeight="1">
      <c r="A449" s="157" t="s">
        <v>617</v>
      </c>
      <c r="B449" s="158" t="s">
        <v>1386</v>
      </c>
      <c r="C449" s="159" t="s">
        <v>75</v>
      </c>
      <c r="D449" s="159" t="s">
        <v>87</v>
      </c>
      <c r="E449" s="187" t="s">
        <v>285</v>
      </c>
      <c r="F449" s="2" t="s">
        <v>1908</v>
      </c>
      <c r="G449" s="187" t="e">
        <f>+VLOOKUP(Table_1[[#This Row],[Account]],BV_Data_An_Cour!$L:$Q,6,0)</f>
        <v>#N/A</v>
      </c>
      <c r="H449" s="2"/>
    </row>
    <row r="450" spans="1:29" ht="15" customHeight="1">
      <c r="A450" s="157" t="s">
        <v>711</v>
      </c>
      <c r="B450" s="158" t="s">
        <v>1505</v>
      </c>
      <c r="C450" s="159" t="s">
        <v>75</v>
      </c>
      <c r="D450" s="159" t="s">
        <v>87</v>
      </c>
      <c r="E450" s="187" t="s">
        <v>1909</v>
      </c>
      <c r="F450" s="2"/>
      <c r="G450" s="187" t="e">
        <f>+VLOOKUP(Table_1[[#This Row],[Account]],BV_Data_An_Cour!$L:$Q,6,0)</f>
        <v>#N/A</v>
      </c>
      <c r="H450" s="2"/>
    </row>
    <row r="451" spans="1:29" ht="15" customHeight="1">
      <c r="A451" s="476" t="s">
        <v>618</v>
      </c>
      <c r="B451" s="483" t="s">
        <v>1077</v>
      </c>
      <c r="C451" s="159" t="s">
        <v>75</v>
      </c>
      <c r="D451" s="159" t="s">
        <v>87</v>
      </c>
      <c r="E451" s="187" t="s">
        <v>285</v>
      </c>
      <c r="F451" s="2" t="s">
        <v>1908</v>
      </c>
      <c r="G451" s="187" t="e">
        <f>+VLOOKUP(Table_1[[#This Row],[Account]],BV_Data_An_Cour!$L:$Q,6,0)</f>
        <v>#N/A</v>
      </c>
      <c r="H451" s="2"/>
    </row>
    <row r="452" spans="1:29" ht="15" customHeight="1">
      <c r="A452" s="476" t="s">
        <v>712</v>
      </c>
      <c r="B452" s="483" t="s">
        <v>1506</v>
      </c>
      <c r="C452" s="159" t="s">
        <v>75</v>
      </c>
      <c r="D452" s="159" t="s">
        <v>87</v>
      </c>
      <c r="E452" s="187" t="s">
        <v>1909</v>
      </c>
      <c r="F452" s="2"/>
      <c r="G452" s="187" t="e">
        <f>+VLOOKUP(Table_1[[#This Row],[Account]],BV_Data_An_Cour!$L:$Q,6,0)</f>
        <v>#N/A</v>
      </c>
      <c r="H452" s="2"/>
    </row>
    <row r="453" spans="1:29" ht="15" customHeight="1">
      <c r="A453" s="162" t="s">
        <v>2032</v>
      </c>
      <c r="B453" s="163" t="s">
        <v>2031</v>
      </c>
      <c r="C453" s="159" t="s">
        <v>75</v>
      </c>
      <c r="D453" s="159" t="s">
        <v>87</v>
      </c>
      <c r="E453" s="187" t="s">
        <v>285</v>
      </c>
      <c r="F453" s="2" t="s">
        <v>1908</v>
      </c>
      <c r="G453" s="187" t="e">
        <f>+VLOOKUP(Table_1[[#This Row],[Account]],BV_Data_An_Cour!$L:$Q,6,0)</f>
        <v>#N/A</v>
      </c>
      <c r="H453" s="2"/>
    </row>
    <row r="454" spans="1:29" ht="15" customHeight="1">
      <c r="A454" s="162" t="s">
        <v>2046</v>
      </c>
      <c r="B454" s="163" t="s">
        <v>2045</v>
      </c>
      <c r="C454" s="159" t="s">
        <v>75</v>
      </c>
      <c r="D454" s="159" t="s">
        <v>87</v>
      </c>
      <c r="E454" s="187" t="s">
        <v>283</v>
      </c>
      <c r="F454" s="2"/>
      <c r="G454" s="187" t="e">
        <f>+VLOOKUP(Table_1[[#This Row],[Account]],BV_Data_An_Cour!$L:$Q,6,0)</f>
        <v>#N/A</v>
      </c>
      <c r="H454" s="2"/>
    </row>
    <row r="455" spans="1:29" ht="15" customHeight="1">
      <c r="A455" s="162" t="s">
        <v>2486</v>
      </c>
      <c r="B455" s="158" t="s">
        <v>2485</v>
      </c>
      <c r="C455" s="159" t="s">
        <v>75</v>
      </c>
      <c r="D455" s="159" t="s">
        <v>87</v>
      </c>
      <c r="E455" s="187" t="s">
        <v>285</v>
      </c>
      <c r="F455" s="2" t="s">
        <v>2154</v>
      </c>
      <c r="G455" s="187"/>
      <c r="H455" s="2"/>
    </row>
    <row r="456" spans="1:29" ht="15" customHeight="1">
      <c r="A456" s="162" t="s">
        <v>2490</v>
      </c>
      <c r="B456" s="158" t="s">
        <v>2489</v>
      </c>
      <c r="C456" s="159" t="s">
        <v>75</v>
      </c>
      <c r="D456" s="159" t="s">
        <v>87</v>
      </c>
      <c r="E456" s="187" t="s">
        <v>283</v>
      </c>
      <c r="F456" s="160"/>
      <c r="G456" s="493"/>
      <c r="H456" s="2"/>
    </row>
    <row r="457" spans="1:29" ht="15" customHeight="1">
      <c r="A457" s="168" t="s">
        <v>619</v>
      </c>
      <c r="B457" s="169" t="s">
        <v>1387</v>
      </c>
      <c r="C457" s="159" t="s">
        <v>75</v>
      </c>
      <c r="D457" s="159" t="s">
        <v>87</v>
      </c>
      <c r="E457" s="187" t="s">
        <v>285</v>
      </c>
      <c r="F457" s="2" t="s">
        <v>1908</v>
      </c>
      <c r="G457" s="187" t="e">
        <f>+VLOOKUP(Table_1[[#This Row],[Account]],BV_Data_An_Cour!$L:$Q,6,0)</f>
        <v>#N/A</v>
      </c>
      <c r="H457" s="2"/>
    </row>
    <row r="458" spans="1:29" ht="15" customHeight="1">
      <c r="A458" s="169" t="s">
        <v>713</v>
      </c>
      <c r="B458" s="169" t="s">
        <v>1507</v>
      </c>
      <c r="C458" s="159" t="s">
        <v>75</v>
      </c>
      <c r="D458" s="159" t="s">
        <v>87</v>
      </c>
      <c r="E458" s="187" t="s">
        <v>1909</v>
      </c>
      <c r="F458" s="2"/>
      <c r="G458" s="187" t="e">
        <f>+VLOOKUP(Table_1[[#This Row],[Account]],BV_Data_An_Cour!$L:$Q,6,0)</f>
        <v>#N/A</v>
      </c>
      <c r="H458" s="2"/>
    </row>
    <row r="459" spans="1:29" ht="15" customHeight="1">
      <c r="A459" s="162" t="s">
        <v>2218</v>
      </c>
      <c r="B459" s="158" t="s">
        <v>2217</v>
      </c>
      <c r="C459" s="159" t="s">
        <v>75</v>
      </c>
      <c r="D459" s="159" t="s">
        <v>87</v>
      </c>
      <c r="E459" s="187" t="s">
        <v>285</v>
      </c>
      <c r="F459" s="2" t="s">
        <v>2154</v>
      </c>
      <c r="G459" s="493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62" t="s">
        <v>2220</v>
      </c>
      <c r="B460" s="158" t="s">
        <v>2219</v>
      </c>
      <c r="C460" s="159" t="s">
        <v>75</v>
      </c>
      <c r="D460" s="159" t="s">
        <v>87</v>
      </c>
      <c r="E460" s="187" t="s">
        <v>1909</v>
      </c>
      <c r="F460" s="160"/>
      <c r="G460" s="493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476" t="s">
        <v>993</v>
      </c>
      <c r="B461" s="483" t="s">
        <v>992</v>
      </c>
      <c r="C461" s="159" t="s">
        <v>75</v>
      </c>
      <c r="D461" s="159" t="s">
        <v>86</v>
      </c>
      <c r="E461" s="187" t="s">
        <v>285</v>
      </c>
      <c r="F461" s="2" t="s">
        <v>1908</v>
      </c>
      <c r="G461" s="187" t="e">
        <f>+VLOOKUP(Table_1[[#This Row],[Account]],BV_Data_An_Cour!$L:$Q,6,0)</f>
        <v>#N/A</v>
      </c>
      <c r="H461" s="2"/>
    </row>
    <row r="462" spans="1:29" ht="15" customHeight="1">
      <c r="A462" s="168" t="s">
        <v>1004</v>
      </c>
      <c r="B462" s="169" t="s">
        <v>1003</v>
      </c>
      <c r="C462" s="159" t="s">
        <v>75</v>
      </c>
      <c r="D462" s="159" t="s">
        <v>86</v>
      </c>
      <c r="E462" s="187" t="s">
        <v>1909</v>
      </c>
      <c r="F462" s="2"/>
      <c r="G462" s="187" t="e">
        <f>+VLOOKUP(Table_1[[#This Row],[Account]],BV_Data_An_Cour!$L:$Q,6,0)</f>
        <v>#N/A</v>
      </c>
      <c r="H462" s="2"/>
    </row>
    <row r="463" spans="1:29" ht="15" customHeight="1">
      <c r="A463" s="162" t="s">
        <v>2529</v>
      </c>
      <c r="B463" s="158" t="s">
        <v>2528</v>
      </c>
      <c r="C463" s="159" t="s">
        <v>75</v>
      </c>
      <c r="D463" s="159" t="s">
        <v>86</v>
      </c>
      <c r="E463" s="187" t="s">
        <v>285</v>
      </c>
      <c r="F463" s="2" t="s">
        <v>1908</v>
      </c>
      <c r="G463" s="493"/>
      <c r="H463" s="2"/>
    </row>
    <row r="464" spans="1:29" ht="15" customHeight="1">
      <c r="A464" s="162" t="s">
        <v>2537</v>
      </c>
      <c r="B464" s="158" t="s">
        <v>2536</v>
      </c>
      <c r="C464" s="159" t="s">
        <v>75</v>
      </c>
      <c r="D464" s="159" t="s">
        <v>86</v>
      </c>
      <c r="E464" s="187" t="s">
        <v>283</v>
      </c>
      <c r="F464" s="160"/>
      <c r="G464" s="493"/>
      <c r="H464" s="2"/>
    </row>
    <row r="465" spans="1:29" ht="15" customHeight="1">
      <c r="A465" s="1197" t="s">
        <v>621</v>
      </c>
      <c r="B465" s="483" t="s">
        <v>620</v>
      </c>
      <c r="C465" s="159" t="s">
        <v>75</v>
      </c>
      <c r="D465" s="159" t="s">
        <v>87</v>
      </c>
      <c r="E465" s="187" t="s">
        <v>285</v>
      </c>
      <c r="F465" s="2" t="s">
        <v>1908</v>
      </c>
      <c r="G465" s="187" t="e">
        <f>+VLOOKUP(Table_1[[#This Row],[Account]],BV_Data_An_Cour!$L:$Q,6,0)</f>
        <v>#N/A</v>
      </c>
      <c r="H465" s="2"/>
    </row>
    <row r="466" spans="1:29" ht="15" customHeight="1">
      <c r="A466" s="162" t="s">
        <v>714</v>
      </c>
      <c r="B466" s="158" t="s">
        <v>620</v>
      </c>
      <c r="C466" s="159" t="s">
        <v>75</v>
      </c>
      <c r="D466" s="159" t="s">
        <v>87</v>
      </c>
      <c r="E466" s="187" t="s">
        <v>1909</v>
      </c>
      <c r="F466" s="2"/>
      <c r="G466" s="187" t="e">
        <f>+VLOOKUP(Table_1[[#This Row],[Account]],BV_Data_An_Cour!$L:$Q,6,0)</f>
        <v>#N/A</v>
      </c>
      <c r="H466" s="2"/>
    </row>
    <row r="467" spans="1:29" ht="15" customHeight="1">
      <c r="A467" s="162" t="s">
        <v>2008</v>
      </c>
      <c r="B467" s="163" t="s">
        <v>2007</v>
      </c>
      <c r="C467" s="159" t="s">
        <v>75</v>
      </c>
      <c r="D467" s="159" t="s">
        <v>86</v>
      </c>
      <c r="E467" s="187" t="s">
        <v>285</v>
      </c>
      <c r="F467" s="2" t="s">
        <v>1908</v>
      </c>
      <c r="G467" s="187" t="s">
        <v>2006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2022</v>
      </c>
      <c r="B468" s="163" t="s">
        <v>2021</v>
      </c>
      <c r="C468" s="159" t="s">
        <v>75</v>
      </c>
      <c r="D468" s="159" t="s">
        <v>86</v>
      </c>
      <c r="E468" s="187" t="s">
        <v>283</v>
      </c>
      <c r="F468" s="2"/>
      <c r="G468" s="187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622</v>
      </c>
      <c r="B469" s="163" t="s">
        <v>1863</v>
      </c>
      <c r="C469" s="159" t="s">
        <v>75</v>
      </c>
      <c r="D469" s="159" t="s">
        <v>86</v>
      </c>
      <c r="E469" s="187" t="s">
        <v>285</v>
      </c>
      <c r="F469" s="2" t="s">
        <v>1908</v>
      </c>
      <c r="G469" s="187" t="e">
        <f>+VLOOKUP(Table_1[[#This Row],[Account]],BV_Data_An_Cour!$L:$Q,6,0)</f>
        <v>#N/A</v>
      </c>
      <c r="H469" s="2"/>
    </row>
    <row r="470" spans="1:29" ht="15" customHeight="1">
      <c r="A470" s="162" t="s">
        <v>715</v>
      </c>
      <c r="B470" s="163" t="s">
        <v>1878</v>
      </c>
      <c r="C470" s="159" t="s">
        <v>75</v>
      </c>
      <c r="D470" s="159" t="s">
        <v>86</v>
      </c>
      <c r="E470" s="187" t="s">
        <v>1909</v>
      </c>
      <c r="F470" s="2"/>
      <c r="G470" s="187" t="e">
        <f>+VLOOKUP(Table_1[[#This Row],[Account]],BV_Data_An_Cour!$L:$Q,6,0)</f>
        <v>#N/A</v>
      </c>
      <c r="H470" s="2"/>
    </row>
    <row r="471" spans="1:29" ht="15" customHeight="1">
      <c r="A471" s="168" t="s">
        <v>623</v>
      </c>
      <c r="B471" s="169" t="s">
        <v>1388</v>
      </c>
      <c r="C471" s="159" t="s">
        <v>75</v>
      </c>
      <c r="D471" s="159" t="s">
        <v>87</v>
      </c>
      <c r="E471" s="187" t="s">
        <v>285</v>
      </c>
      <c r="F471" s="2" t="s">
        <v>1908</v>
      </c>
      <c r="G471" s="187" t="str">
        <f>+VLOOKUP(Table_1[[#This Row],[Account]],BV_Data_An_Cour!$L:$Q,6,0)</f>
        <v>5-Ventes</v>
      </c>
      <c r="H471" s="2"/>
    </row>
    <row r="472" spans="1:29" ht="15" customHeight="1">
      <c r="A472" s="168" t="s">
        <v>716</v>
      </c>
      <c r="B472" s="169" t="s">
        <v>1508</v>
      </c>
      <c r="C472" s="159" t="s">
        <v>75</v>
      </c>
      <c r="D472" s="159" t="s">
        <v>87</v>
      </c>
      <c r="E472" s="187" t="s">
        <v>1909</v>
      </c>
      <c r="F472" s="2"/>
      <c r="G472" s="187" t="str">
        <f>+VLOOKUP(Table_1[[#This Row],[Account]],BV_Data_An_Cour!$L:$Q,6,0)</f>
        <v>10-Compte compteur</v>
      </c>
      <c r="H472" s="2"/>
    </row>
    <row r="473" spans="1:29" ht="15" customHeight="1">
      <c r="A473" s="168" t="s">
        <v>624</v>
      </c>
      <c r="B473" s="169" t="s">
        <v>1087</v>
      </c>
      <c r="C473" s="159" t="s">
        <v>75</v>
      </c>
      <c r="D473" s="159" t="s">
        <v>87</v>
      </c>
      <c r="E473" s="187" t="s">
        <v>285</v>
      </c>
      <c r="F473" s="2" t="s">
        <v>1908</v>
      </c>
      <c r="G473" s="187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717</v>
      </c>
      <c r="B474" s="158" t="s">
        <v>1509</v>
      </c>
      <c r="C474" s="159" t="s">
        <v>75</v>
      </c>
      <c r="D474" s="159" t="s">
        <v>87</v>
      </c>
      <c r="E474" s="187" t="s">
        <v>1909</v>
      </c>
      <c r="F474" s="2"/>
      <c r="G474" s="187" t="e">
        <f>+VLOOKUP(Table_1[[#This Row],[Account]],BV_Data_An_Cour!$L:$Q,6,0)</f>
        <v>#N/A</v>
      </c>
      <c r="H474" s="2"/>
    </row>
    <row r="475" spans="1:29" ht="15" customHeight="1">
      <c r="A475" s="749" t="s">
        <v>2065</v>
      </c>
      <c r="B475" s="750" t="s">
        <v>2064</v>
      </c>
      <c r="C475" s="159" t="s">
        <v>75</v>
      </c>
      <c r="D475" s="159" t="s">
        <v>87</v>
      </c>
      <c r="E475" s="187" t="s">
        <v>285</v>
      </c>
      <c r="F475" s="2" t="s">
        <v>1908</v>
      </c>
      <c r="G475" s="187" t="e">
        <f>+VLOOKUP(Table_1[[#This Row],[Account]],BV_Data_An_Cour!$L:$Q,6,0)</f>
        <v>#N/A</v>
      </c>
      <c r="H475" s="2"/>
      <c r="K475" s="2"/>
    </row>
    <row r="476" spans="1:29" ht="15" customHeight="1">
      <c r="A476" s="749" t="s">
        <v>2073</v>
      </c>
      <c r="B476" s="750" t="s">
        <v>2072</v>
      </c>
      <c r="C476" s="159" t="s">
        <v>75</v>
      </c>
      <c r="D476" s="159" t="s">
        <v>87</v>
      </c>
      <c r="E476" s="187" t="s">
        <v>283</v>
      </c>
      <c r="F476" s="2"/>
      <c r="G476" s="187" t="e">
        <f>+VLOOKUP(Table_1[[#This Row],[Account]],BV_Data_An_Cour!$L:$Q,6,0)</f>
        <v>#N/A</v>
      </c>
      <c r="H476" s="2"/>
    </row>
    <row r="477" spans="1:29" ht="15" customHeight="1">
      <c r="A477" s="157" t="s">
        <v>407</v>
      </c>
      <c r="B477" s="158" t="s">
        <v>1024</v>
      </c>
      <c r="C477" s="159" t="s">
        <v>75</v>
      </c>
      <c r="D477" s="159" t="s">
        <v>87</v>
      </c>
      <c r="E477" s="187" t="s">
        <v>285</v>
      </c>
      <c r="F477" s="2" t="s">
        <v>1908</v>
      </c>
      <c r="G477" s="187" t="str">
        <f>+VLOOKUP(Table_1[[#This Row],[Account]],BV_Data_An_Cour!$L:$Q,6,0)</f>
        <v>5-Ventes</v>
      </c>
      <c r="H477" s="2"/>
    </row>
    <row r="478" spans="1:29" ht="15" customHeight="1">
      <c r="A478" s="162" t="s">
        <v>718</v>
      </c>
      <c r="B478" s="163" t="s">
        <v>1040</v>
      </c>
      <c r="C478" s="159" t="s">
        <v>75</v>
      </c>
      <c r="D478" s="159" t="s">
        <v>87</v>
      </c>
      <c r="E478" s="187" t="s">
        <v>1909</v>
      </c>
      <c r="F478" s="2"/>
      <c r="G478" s="187" t="str">
        <f>+VLOOKUP(Table_1[[#This Row],[Account]],BV_Data_An_Cour!$L:$Q,6,0)</f>
        <v>10-Compte compteur</v>
      </c>
      <c r="H478" s="2"/>
    </row>
    <row r="479" spans="1:29" ht="15" customHeight="1">
      <c r="A479" s="1211" t="s">
        <v>625</v>
      </c>
      <c r="B479" s="484" t="s">
        <v>1864</v>
      </c>
      <c r="C479" s="159" t="s">
        <v>75</v>
      </c>
      <c r="D479" s="159" t="s">
        <v>86</v>
      </c>
      <c r="E479" s="187" t="s">
        <v>285</v>
      </c>
      <c r="F479" s="2" t="s">
        <v>1908</v>
      </c>
      <c r="G479" s="187" t="str">
        <f>+VLOOKUP(Table_1[[#This Row],[Account]],BV_Data_An_Cour!$L:$Q,6,0)</f>
        <v>5-Ventes</v>
      </c>
      <c r="H479" s="160"/>
    </row>
    <row r="480" spans="1:29" ht="15" customHeight="1">
      <c r="A480" s="162" t="s">
        <v>719</v>
      </c>
      <c r="B480" s="482" t="s">
        <v>1879</v>
      </c>
      <c r="C480" s="159" t="s">
        <v>75</v>
      </c>
      <c r="D480" s="468" t="s">
        <v>86</v>
      </c>
      <c r="E480" s="187" t="s">
        <v>1909</v>
      </c>
      <c r="F480" s="2"/>
      <c r="G480" s="187" t="str">
        <f>+VLOOKUP(Table_1[[#This Row],[Account]],BV_Data_An_Cour!$L:$Q,6,0)</f>
        <v>10-Compte compteur</v>
      </c>
      <c r="H480" s="2"/>
    </row>
    <row r="481" spans="1:29" ht="15" customHeight="1">
      <c r="A481" s="168" t="s">
        <v>1014</v>
      </c>
      <c r="B481" s="169" t="s">
        <v>1136</v>
      </c>
      <c r="C481" s="159" t="s">
        <v>75</v>
      </c>
      <c r="D481" s="159" t="s">
        <v>96</v>
      </c>
      <c r="E481" s="187" t="s">
        <v>285</v>
      </c>
      <c r="F481" s="2" t="s">
        <v>1908</v>
      </c>
      <c r="G481" s="187" t="str">
        <f>+VLOOKUP(Table_1[[#This Row],[Account]],BV_Data_An_Cour!$L:$Q,6,0)</f>
        <v>5-Ventes</v>
      </c>
      <c r="H481" s="2"/>
    </row>
    <row r="482" spans="1:29" ht="15" customHeight="1">
      <c r="A482" s="162" t="s">
        <v>1041</v>
      </c>
      <c r="B482" s="163" t="s">
        <v>1510</v>
      </c>
      <c r="C482" s="159" t="s">
        <v>75</v>
      </c>
      <c r="D482" s="159" t="s">
        <v>96</v>
      </c>
      <c r="E482" s="187" t="s">
        <v>1909</v>
      </c>
      <c r="F482" s="2"/>
      <c r="G482" s="187" t="str">
        <f>+VLOOKUP(Table_1[[#This Row],[Account]],BV_Data_An_Cour!$L:$Q,6,0)</f>
        <v>10-Compte compteur</v>
      </c>
      <c r="H482" s="2"/>
    </row>
    <row r="483" spans="1:29" ht="15" customHeight="1">
      <c r="A483" s="157" t="s">
        <v>1015</v>
      </c>
      <c r="B483" s="158" t="s">
        <v>1389</v>
      </c>
      <c r="C483" s="159" t="s">
        <v>75</v>
      </c>
      <c r="D483" s="159" t="s">
        <v>96</v>
      </c>
      <c r="E483" s="187" t="s">
        <v>285</v>
      </c>
      <c r="F483" s="2" t="s">
        <v>1908</v>
      </c>
      <c r="G483" s="187" t="e">
        <f>+VLOOKUP(Table_1[[#This Row],[Account]],BV_Data_An_Cour!$L:$Q,6,0)</f>
        <v>#N/A</v>
      </c>
      <c r="H483" s="2"/>
    </row>
    <row r="484" spans="1:29" ht="15" customHeight="1">
      <c r="A484" s="157" t="s">
        <v>1016</v>
      </c>
      <c r="B484" s="158" t="s">
        <v>1390</v>
      </c>
      <c r="C484" s="159" t="s">
        <v>75</v>
      </c>
      <c r="D484" s="159" t="s">
        <v>96</v>
      </c>
      <c r="E484" s="187" t="s">
        <v>285</v>
      </c>
      <c r="F484" s="2" t="s">
        <v>1908</v>
      </c>
      <c r="G484" s="187" t="str">
        <f>+VLOOKUP(Table_1[[#This Row],[Account]],BV_Data_An_Cour!$L:$Q,6,0)</f>
        <v>5-Ventes</v>
      </c>
      <c r="H484" s="2"/>
    </row>
    <row r="485" spans="1:29" ht="15" customHeight="1">
      <c r="A485" s="157" t="s">
        <v>1042</v>
      </c>
      <c r="B485" s="158" t="s">
        <v>1511</v>
      </c>
      <c r="C485" s="159" t="s">
        <v>75</v>
      </c>
      <c r="D485" s="159" t="s">
        <v>96</v>
      </c>
      <c r="E485" s="187" t="s">
        <v>1909</v>
      </c>
      <c r="F485" s="2"/>
      <c r="G485" s="187" t="str">
        <f>+VLOOKUP(Table_1[[#This Row],[Account]],BV_Data_An_Cour!$L:$Q,6,0)</f>
        <v>10-Compte compteur</v>
      </c>
      <c r="H485" s="2"/>
    </row>
    <row r="486" spans="1:29" ht="15" customHeight="1">
      <c r="A486" s="476" t="s">
        <v>1165</v>
      </c>
      <c r="B486" s="483" t="s">
        <v>1164</v>
      </c>
      <c r="C486" s="159" t="s">
        <v>75</v>
      </c>
      <c r="D486" s="159" t="s">
        <v>95</v>
      </c>
      <c r="E486" s="187" t="s">
        <v>285</v>
      </c>
      <c r="F486" s="2" t="s">
        <v>1908</v>
      </c>
      <c r="G486" s="187" t="str">
        <f>+VLOOKUP(Table_1[[#This Row],[Account]],BV_Data_An_Cour!$L:$Q,6,0)</f>
        <v>5-Ventes</v>
      </c>
      <c r="H486" s="2"/>
    </row>
    <row r="487" spans="1:29" ht="15" customHeight="1">
      <c r="A487" s="168" t="s">
        <v>1513</v>
      </c>
      <c r="B487" s="169" t="s">
        <v>1512</v>
      </c>
      <c r="C487" s="159" t="s">
        <v>75</v>
      </c>
      <c r="D487" s="159" t="s">
        <v>95</v>
      </c>
      <c r="E487" s="187" t="s">
        <v>1909</v>
      </c>
      <c r="F487" s="2"/>
      <c r="G487" s="187" t="str">
        <f>+VLOOKUP(Table_1[[#This Row],[Account]],BV_Data_An_Cour!$L:$Q,6,0)</f>
        <v>10-Compte compteur</v>
      </c>
      <c r="H487" s="2"/>
    </row>
    <row r="488" spans="1:29" ht="15" customHeight="1">
      <c r="A488" s="162" t="s">
        <v>1392</v>
      </c>
      <c r="B488" s="158" t="s">
        <v>1391</v>
      </c>
      <c r="C488" s="159" t="s">
        <v>75</v>
      </c>
      <c r="D488" s="159" t="s">
        <v>94</v>
      </c>
      <c r="E488" s="187" t="s">
        <v>285</v>
      </c>
      <c r="F488" s="2" t="s">
        <v>1908</v>
      </c>
      <c r="G488" s="187" t="e">
        <f>+VLOOKUP(Table_1[[#This Row],[Account]],BV_Data_An_Cour!$L:$Q,6,0)</f>
        <v>#N/A</v>
      </c>
      <c r="H488" s="2"/>
    </row>
    <row r="489" spans="1:29" ht="15" customHeight="1">
      <c r="A489" s="168" t="s">
        <v>1515</v>
      </c>
      <c r="B489" s="169" t="s">
        <v>1514</v>
      </c>
      <c r="C489" s="159" t="s">
        <v>75</v>
      </c>
      <c r="D489" s="159" t="s">
        <v>94</v>
      </c>
      <c r="E489" s="187" t="s">
        <v>1909</v>
      </c>
      <c r="F489" s="2"/>
      <c r="G489" s="187" t="e">
        <f>+VLOOKUP(Table_1[[#This Row],[Account]],BV_Data_An_Cour!$L:$Q,6,0)</f>
        <v>#N/A</v>
      </c>
      <c r="H489" s="2"/>
    </row>
    <row r="490" spans="1:29" ht="15" customHeight="1">
      <c r="A490" s="168" t="s">
        <v>1011</v>
      </c>
      <c r="B490" s="169" t="s">
        <v>1393</v>
      </c>
      <c r="C490" s="159" t="s">
        <v>75</v>
      </c>
      <c r="D490" s="159" t="s">
        <v>95</v>
      </c>
      <c r="E490" s="187" t="s">
        <v>285</v>
      </c>
      <c r="F490" s="2" t="s">
        <v>1908</v>
      </c>
      <c r="G490" s="187" t="e">
        <f>+VLOOKUP(Table_1[[#This Row],[Account]],BV_Data_An_Cour!$L:$Q,6,0)</f>
        <v>#N/A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57" t="s">
        <v>1043</v>
      </c>
      <c r="B491" s="158" t="s">
        <v>1516</v>
      </c>
      <c r="C491" s="159" t="s">
        <v>75</v>
      </c>
      <c r="D491" s="159" t="s">
        <v>95</v>
      </c>
      <c r="E491" s="187" t="s">
        <v>1909</v>
      </c>
      <c r="F491" s="2"/>
      <c r="G491" s="187" t="e">
        <f>+VLOOKUP(Table_1[[#This Row],[Account]],BV_Data_An_Cour!$L:$Q,6,0)</f>
        <v>#N/A</v>
      </c>
      <c r="H491" s="2"/>
    </row>
    <row r="492" spans="1:29" ht="15" customHeight="1">
      <c r="A492" s="474" t="s">
        <v>1946</v>
      </c>
      <c r="B492" s="482" t="s">
        <v>1945</v>
      </c>
      <c r="C492" s="159" t="s">
        <v>75</v>
      </c>
      <c r="D492" s="159" t="s">
        <v>95</v>
      </c>
      <c r="E492" s="187" t="s">
        <v>285</v>
      </c>
      <c r="F492" s="2" t="s">
        <v>1908</v>
      </c>
      <c r="G492" s="187" t="e">
        <f>+VLOOKUP(Table_1[[#This Row],[Account]],BV_Data_An_Cour!$L:$Q,6,0)</f>
        <v>#N/A</v>
      </c>
      <c r="H492" s="2"/>
    </row>
    <row r="493" spans="1:29" ht="15" customHeight="1">
      <c r="A493" s="474" t="s">
        <v>1950</v>
      </c>
      <c r="B493" s="482" t="s">
        <v>1949</v>
      </c>
      <c r="C493" s="159" t="s">
        <v>75</v>
      </c>
      <c r="D493" s="159" t="s">
        <v>95</v>
      </c>
      <c r="E493" s="187" t="s">
        <v>1909</v>
      </c>
      <c r="F493" s="2"/>
      <c r="G493" s="187" t="e">
        <f>+VLOOKUP(Table_1[[#This Row],[Account]],BV_Data_An_Cour!$L:$Q,6,0)</f>
        <v>#N/A</v>
      </c>
      <c r="H493" s="2"/>
    </row>
    <row r="494" spans="1:29" ht="15" customHeight="1">
      <c r="A494" s="162" t="s">
        <v>1199</v>
      </c>
      <c r="B494" s="163" t="s">
        <v>1198</v>
      </c>
      <c r="C494" s="159" t="s">
        <v>75</v>
      </c>
      <c r="D494" s="159" t="s">
        <v>96</v>
      </c>
      <c r="E494" s="187" t="s">
        <v>285</v>
      </c>
      <c r="F494" s="2" t="s">
        <v>1908</v>
      </c>
      <c r="G494" s="187" t="str">
        <f>+VLOOKUP(Table_1[[#This Row],[Account]],BV_Data_An_Cour!$L:$Q,6,0)</f>
        <v>5-Ventes</v>
      </c>
      <c r="H494" s="2"/>
    </row>
    <row r="495" spans="1:29" ht="15" customHeight="1">
      <c r="A495" s="476" t="s">
        <v>1518</v>
      </c>
      <c r="B495" s="483" t="s">
        <v>1517</v>
      </c>
      <c r="C495" s="159" t="s">
        <v>75</v>
      </c>
      <c r="D495" s="159" t="s">
        <v>96</v>
      </c>
      <c r="E495" s="187" t="s">
        <v>1909</v>
      </c>
      <c r="F495" s="2"/>
      <c r="G495" s="187" t="str">
        <f>+VLOOKUP(Table_1[[#This Row],[Account]],BV_Data_An_Cour!$L:$Q,6,0)</f>
        <v>10-Compte compteur</v>
      </c>
      <c r="H495" s="2"/>
    </row>
    <row r="496" spans="1:29" ht="15" customHeight="1">
      <c r="A496" s="168" t="s">
        <v>1122</v>
      </c>
      <c r="B496" s="169" t="s">
        <v>1121</v>
      </c>
      <c r="C496" s="159" t="s">
        <v>75</v>
      </c>
      <c r="D496" s="159" t="s">
        <v>95</v>
      </c>
      <c r="E496" s="187" t="s">
        <v>285</v>
      </c>
      <c r="F496" s="2" t="s">
        <v>1908</v>
      </c>
      <c r="G496" s="187" t="str">
        <f>+VLOOKUP(Table_1[[#This Row],[Account]],BV_Data_An_Cour!$L:$Q,6,0)</f>
        <v>5-Ventes</v>
      </c>
      <c r="H496" s="2"/>
    </row>
    <row r="497" spans="1:8" ht="15" customHeight="1">
      <c r="A497" s="1194" t="s">
        <v>1520</v>
      </c>
      <c r="B497" s="1194" t="s">
        <v>1519</v>
      </c>
      <c r="C497" s="159" t="s">
        <v>75</v>
      </c>
      <c r="D497" s="159" t="s">
        <v>95</v>
      </c>
      <c r="E497" s="187" t="s">
        <v>1909</v>
      </c>
      <c r="F497" s="2"/>
      <c r="G497" s="187" t="str">
        <f>+VLOOKUP(Table_1[[#This Row],[Account]],BV_Data_An_Cour!$L:$Q,6,0)</f>
        <v>10-Compte compteur</v>
      </c>
      <c r="H497" s="2"/>
    </row>
    <row r="498" spans="1:8" ht="15" customHeight="1">
      <c r="A498" s="168" t="s">
        <v>1159</v>
      </c>
      <c r="B498" s="169" t="s">
        <v>1158</v>
      </c>
      <c r="C498" s="159" t="s">
        <v>75</v>
      </c>
      <c r="D498" s="159" t="s">
        <v>96</v>
      </c>
      <c r="E498" s="187" t="s">
        <v>285</v>
      </c>
      <c r="F498" s="2" t="s">
        <v>1908</v>
      </c>
      <c r="G498" s="187" t="e">
        <f>+VLOOKUP(Table_1[[#This Row],[Account]],BV_Data_An_Cour!$L:$Q,6,0)</f>
        <v>#N/A</v>
      </c>
      <c r="H498" s="2"/>
    </row>
    <row r="499" spans="1:8" ht="15" customHeight="1">
      <c r="A499" s="157" t="s">
        <v>1522</v>
      </c>
      <c r="B499" s="158" t="s">
        <v>1521</v>
      </c>
      <c r="C499" s="159" t="s">
        <v>75</v>
      </c>
      <c r="D499" s="159" t="s">
        <v>96</v>
      </c>
      <c r="E499" s="187" t="s">
        <v>1909</v>
      </c>
      <c r="F499" s="2"/>
      <c r="G499" s="187" t="e">
        <f>+VLOOKUP(Table_1[[#This Row],[Account]],BV_Data_An_Cour!$L:$Q,6,0)</f>
        <v>#N/A</v>
      </c>
      <c r="H499" s="2"/>
    </row>
    <row r="500" spans="1:8" ht="15" customHeight="1">
      <c r="A500" s="162" t="s">
        <v>2233</v>
      </c>
      <c r="B500" s="158" t="s">
        <v>2234</v>
      </c>
      <c r="C500" s="159" t="s">
        <v>75</v>
      </c>
      <c r="D500" s="159" t="s">
        <v>86</v>
      </c>
      <c r="E500" s="493" t="s">
        <v>285</v>
      </c>
      <c r="F500" s="160" t="s">
        <v>2154</v>
      </c>
      <c r="G500" s="493" t="e">
        <v>#N/A</v>
      </c>
      <c r="H500" s="2"/>
    </row>
    <row r="501" spans="1:8" ht="15" customHeight="1">
      <c r="A501" s="162" t="s">
        <v>2241</v>
      </c>
      <c r="B501" s="158" t="s">
        <v>2242</v>
      </c>
      <c r="C501" s="159" t="s">
        <v>75</v>
      </c>
      <c r="D501" s="159" t="s">
        <v>86</v>
      </c>
      <c r="E501" s="187" t="s">
        <v>283</v>
      </c>
      <c r="F501" s="160"/>
      <c r="G501" s="187" t="e">
        <f>+VLOOKUP(Table_1[[#This Row],[Account]],BV_Data_An_Cour!$L:$Q,6,0)</f>
        <v>#N/A</v>
      </c>
      <c r="H501" s="2"/>
    </row>
    <row r="502" spans="1:8" ht="15" customHeight="1">
      <c r="A502" s="1193" t="s">
        <v>626</v>
      </c>
      <c r="B502" s="734" t="s">
        <v>1394</v>
      </c>
      <c r="C502" s="159" t="s">
        <v>75</v>
      </c>
      <c r="D502" s="159" t="s">
        <v>86</v>
      </c>
      <c r="E502" s="187" t="s">
        <v>285</v>
      </c>
      <c r="F502" s="2" t="s">
        <v>1908</v>
      </c>
      <c r="G502" s="187" t="e">
        <f>+VLOOKUP(Table_1[[#This Row],[Account]],BV_Data_An_Cour!$L:$Q,6,0)</f>
        <v>#N/A</v>
      </c>
      <c r="H502" s="2"/>
    </row>
    <row r="503" spans="1:8" ht="15" customHeight="1">
      <c r="A503" s="162" t="s">
        <v>720</v>
      </c>
      <c r="B503" s="1215" t="s">
        <v>1523</v>
      </c>
      <c r="C503" s="159" t="s">
        <v>75</v>
      </c>
      <c r="D503" s="159" t="s">
        <v>86</v>
      </c>
      <c r="E503" s="187" t="s">
        <v>1909</v>
      </c>
      <c r="F503" s="2"/>
      <c r="G503" s="187" t="e">
        <f>+VLOOKUP(Table_1[[#This Row],[Account]],BV_Data_An_Cour!$L:$Q,6,0)</f>
        <v>#N/A</v>
      </c>
      <c r="H503" s="2"/>
    </row>
    <row r="504" spans="1:8" ht="15" customHeight="1">
      <c r="A504" s="149" t="s">
        <v>2080</v>
      </c>
      <c r="B504" s="1213" t="s">
        <v>2079</v>
      </c>
      <c r="C504" s="159" t="s">
        <v>75</v>
      </c>
      <c r="D504" s="159" t="s">
        <v>86</v>
      </c>
      <c r="E504" s="187" t="s">
        <v>285</v>
      </c>
      <c r="F504" s="2" t="s">
        <v>1908</v>
      </c>
      <c r="G504" s="187" t="e">
        <f>+VLOOKUP(Table_1[[#This Row],[Account]],BV_Data_An_Cour!$L:$Q,6,0)</f>
        <v>#N/A</v>
      </c>
      <c r="H504" s="2"/>
    </row>
    <row r="505" spans="1:8" ht="15" customHeight="1">
      <c r="A505" s="149" t="s">
        <v>2088</v>
      </c>
      <c r="B505" s="1216" t="s">
        <v>2087</v>
      </c>
      <c r="C505" s="159" t="s">
        <v>75</v>
      </c>
      <c r="D505" s="159" t="s">
        <v>86</v>
      </c>
      <c r="E505" s="187" t="s">
        <v>1909</v>
      </c>
      <c r="G505" s="187" t="e">
        <f>+VLOOKUP(Table_1[[#This Row],[Account]],BV_Data_An_Cour!$L:$Q,6,0)</f>
        <v>#N/A</v>
      </c>
      <c r="H505" s="2"/>
    </row>
    <row r="506" spans="1:8" ht="15" customHeight="1">
      <c r="A506" s="162" t="s">
        <v>2010</v>
      </c>
      <c r="B506" s="166" t="s">
        <v>2009</v>
      </c>
      <c r="C506" s="159" t="s">
        <v>75</v>
      </c>
      <c r="D506" s="159" t="s">
        <v>86</v>
      </c>
      <c r="E506" s="187" t="s">
        <v>285</v>
      </c>
      <c r="F506" s="2" t="s">
        <v>1908</v>
      </c>
      <c r="G506" s="187" t="s">
        <v>2006</v>
      </c>
      <c r="H506" s="2"/>
    </row>
    <row r="507" spans="1:8" ht="15" customHeight="1">
      <c r="A507" s="163" t="s">
        <v>2024</v>
      </c>
      <c r="B507" s="163" t="s">
        <v>2023</v>
      </c>
      <c r="C507" s="159" t="s">
        <v>75</v>
      </c>
      <c r="D507" s="159" t="s">
        <v>86</v>
      </c>
      <c r="E507" s="187" t="s">
        <v>283</v>
      </c>
      <c r="F507" s="2"/>
      <c r="G507" s="187" t="e">
        <f>+VLOOKUP(Table_1[[#This Row],[Account]],BV_Data_An_Cour!$L:$Q,6,0)</f>
        <v>#N/A</v>
      </c>
      <c r="H507" s="2"/>
    </row>
    <row r="508" spans="1:8" ht="15" customHeight="1">
      <c r="A508" s="162" t="s">
        <v>2011</v>
      </c>
      <c r="B508" s="163" t="s">
        <v>2053</v>
      </c>
      <c r="C508" s="159" t="s">
        <v>75</v>
      </c>
      <c r="D508" s="468" t="s">
        <v>86</v>
      </c>
      <c r="E508" s="187" t="s">
        <v>285</v>
      </c>
      <c r="F508" s="2" t="s">
        <v>1908</v>
      </c>
      <c r="G508" s="187" t="s">
        <v>2006</v>
      </c>
      <c r="H508" s="2"/>
    </row>
    <row r="509" spans="1:8" ht="15" customHeight="1">
      <c r="A509" s="162" t="s">
        <v>2063</v>
      </c>
      <c r="B509" s="163" t="s">
        <v>2062</v>
      </c>
      <c r="C509" s="159" t="s">
        <v>75</v>
      </c>
      <c r="D509" s="468" t="s">
        <v>86</v>
      </c>
      <c r="E509" s="187" t="s">
        <v>283</v>
      </c>
      <c r="F509" s="2"/>
      <c r="G509" s="187" t="e">
        <f>+VLOOKUP(Table_1[[#This Row],[Account]],BV_Data_An_Cour!$L:$Q,6,0)</f>
        <v>#N/A</v>
      </c>
      <c r="H509" s="2"/>
    </row>
    <row r="510" spans="1:8" ht="15" customHeight="1">
      <c r="A510" s="157" t="s">
        <v>627</v>
      </c>
      <c r="B510" s="158" t="s">
        <v>1126</v>
      </c>
      <c r="C510" s="159" t="s">
        <v>75</v>
      </c>
      <c r="D510" s="159" t="s">
        <v>95</v>
      </c>
      <c r="E510" s="187" t="s">
        <v>285</v>
      </c>
      <c r="F510" s="2" t="s">
        <v>1908</v>
      </c>
      <c r="G510" s="187" t="e">
        <f>+VLOOKUP(Table_1[[#This Row],[Account]],BV_Data_An_Cour!$L:$Q,6,0)</f>
        <v>#N/A</v>
      </c>
      <c r="H510" s="2"/>
    </row>
    <row r="511" spans="1:8" ht="15" customHeight="1">
      <c r="A511" s="168" t="s">
        <v>721</v>
      </c>
      <c r="B511" s="169" t="s">
        <v>1524</v>
      </c>
      <c r="C511" s="159" t="s">
        <v>75</v>
      </c>
      <c r="D511" s="159" t="s">
        <v>95</v>
      </c>
      <c r="E511" s="187" t="s">
        <v>1909</v>
      </c>
      <c r="F511" s="2"/>
      <c r="G511" s="187" t="e">
        <f>+VLOOKUP(Table_1[[#This Row],[Account]],BV_Data_An_Cour!$L:$Q,6,0)</f>
        <v>#N/A</v>
      </c>
      <c r="H511" s="2"/>
    </row>
    <row r="512" spans="1:8" ht="15" customHeight="1">
      <c r="A512" s="476" t="s">
        <v>2093</v>
      </c>
      <c r="B512" s="483" t="s">
        <v>2094</v>
      </c>
      <c r="C512" s="159" t="s">
        <v>75</v>
      </c>
      <c r="D512" s="159" t="s">
        <v>95</v>
      </c>
      <c r="E512" s="187" t="s">
        <v>285</v>
      </c>
      <c r="F512" s="2" t="s">
        <v>1908</v>
      </c>
      <c r="G512" s="187" t="str">
        <f>+VLOOKUP(Table_1[[#This Row],[Account]],BV_Data_An_Cour!$L:$Q,6,0)</f>
        <v>5-Ventes</v>
      </c>
      <c r="H512" s="2"/>
    </row>
    <row r="513" spans="1:11" ht="15" customHeight="1">
      <c r="A513" s="162" t="s">
        <v>2107</v>
      </c>
      <c r="B513" s="163" t="s">
        <v>2108</v>
      </c>
      <c r="C513" s="159" t="s">
        <v>75</v>
      </c>
      <c r="D513" s="159" t="s">
        <v>95</v>
      </c>
      <c r="E513" s="187" t="s">
        <v>1909</v>
      </c>
      <c r="F513" s="2"/>
      <c r="G513" s="187" t="str">
        <f>+VLOOKUP(Table_1[[#This Row],[Account]],BV_Data_An_Cour!$L:$Q,6,0)</f>
        <v>10-Compte compteur</v>
      </c>
      <c r="H513" s="2"/>
    </row>
    <row r="514" spans="1:11" ht="15" customHeight="1">
      <c r="A514" s="162" t="s">
        <v>420</v>
      </c>
      <c r="B514" s="163" t="s">
        <v>1091</v>
      </c>
      <c r="C514" s="159" t="s">
        <v>140</v>
      </c>
      <c r="D514" s="159" t="s">
        <v>141</v>
      </c>
      <c r="E514" s="187" t="s">
        <v>285</v>
      </c>
      <c r="F514" s="2" t="s">
        <v>1908</v>
      </c>
      <c r="G514" s="187" t="e">
        <f>+VLOOKUP(Table_1[[#This Row],[Account]],BV_Data_An_Cour!$L:$Q,6,0)</f>
        <v>#N/A</v>
      </c>
      <c r="H514" s="2"/>
    </row>
    <row r="515" spans="1:11" ht="15" customHeight="1">
      <c r="A515" s="169" t="s">
        <v>722</v>
      </c>
      <c r="B515" s="169" t="s">
        <v>1525</v>
      </c>
      <c r="C515" s="159" t="s">
        <v>140</v>
      </c>
      <c r="D515" s="159" t="s">
        <v>141</v>
      </c>
      <c r="E515" s="187" t="s">
        <v>1909</v>
      </c>
      <c r="F515" s="2"/>
      <c r="G515" s="187" t="e">
        <f>+VLOOKUP(Table_1[[#This Row],[Account]],BV_Data_An_Cour!$L:$Q,6,0)</f>
        <v>#N/A</v>
      </c>
      <c r="H515" s="2"/>
    </row>
    <row r="516" spans="1:11" ht="15" customHeight="1">
      <c r="A516" s="168" t="s">
        <v>416</v>
      </c>
      <c r="B516" s="169" t="s">
        <v>1395</v>
      </c>
      <c r="C516" s="159" t="s">
        <v>140</v>
      </c>
      <c r="D516" s="159" t="s">
        <v>142</v>
      </c>
      <c r="E516" s="187" t="s">
        <v>285</v>
      </c>
      <c r="F516" s="2" t="s">
        <v>1908</v>
      </c>
      <c r="G516" s="187" t="e">
        <f>+VLOOKUP(Table_1[[#This Row],[Account]],BV_Data_An_Cour!$L:$Q,6,0)</f>
        <v>#N/A</v>
      </c>
      <c r="H516" s="2"/>
    </row>
    <row r="517" spans="1:11" ht="15" customHeight="1">
      <c r="A517" s="169" t="s">
        <v>723</v>
      </c>
      <c r="B517" s="169" t="s">
        <v>1526</v>
      </c>
      <c r="C517" s="159" t="s">
        <v>140</v>
      </c>
      <c r="D517" s="159" t="s">
        <v>142</v>
      </c>
      <c r="E517" s="187" t="s">
        <v>1909</v>
      </c>
      <c r="F517" s="2"/>
      <c r="G517" s="187" t="e">
        <f>+VLOOKUP(Table_1[[#This Row],[Account]],BV_Data_An_Cour!$L:$Q,6,0)</f>
        <v>#N/A</v>
      </c>
      <c r="H517" s="2"/>
      <c r="K517" s="2"/>
    </row>
    <row r="518" spans="1:11" ht="15" customHeight="1">
      <c r="A518" s="476" t="s">
        <v>384</v>
      </c>
      <c r="B518" s="483" t="s">
        <v>1082</v>
      </c>
      <c r="C518" s="159" t="s">
        <v>140</v>
      </c>
      <c r="D518" s="159" t="s">
        <v>2811</v>
      </c>
      <c r="E518" s="187" t="s">
        <v>285</v>
      </c>
      <c r="F518" s="2" t="s">
        <v>1908</v>
      </c>
      <c r="G518" s="187" t="e">
        <f>+VLOOKUP(Table_1[[#This Row],[Account]],BV_Data_An_Cour!$L:$Q,6,0)</f>
        <v>#N/A</v>
      </c>
      <c r="H518" s="2"/>
    </row>
    <row r="519" spans="1:11" ht="15" customHeight="1">
      <c r="A519" s="476" t="s">
        <v>724</v>
      </c>
      <c r="B519" s="483" t="s">
        <v>1527</v>
      </c>
      <c r="C519" s="159" t="s">
        <v>140</v>
      </c>
      <c r="D519" s="159" t="s">
        <v>2811</v>
      </c>
      <c r="E519" s="187" t="s">
        <v>1909</v>
      </c>
      <c r="F519" s="2"/>
      <c r="G519" s="187" t="e">
        <f>+VLOOKUP(Table_1[[#This Row],[Account]],BV_Data_An_Cour!$L:$Q,6,0)</f>
        <v>#N/A</v>
      </c>
      <c r="H519" s="2"/>
    </row>
    <row r="520" spans="1:11" ht="15" customHeight="1">
      <c r="A520" s="168" t="s">
        <v>1072</v>
      </c>
      <c r="B520" s="169" t="s">
        <v>1071</v>
      </c>
      <c r="C520" s="159" t="s">
        <v>140</v>
      </c>
      <c r="D520" s="159" t="s">
        <v>144</v>
      </c>
      <c r="E520" s="187" t="s">
        <v>285</v>
      </c>
      <c r="F520" s="2" t="s">
        <v>1908</v>
      </c>
      <c r="G520" s="187" t="e">
        <f>+VLOOKUP(Table_1[[#This Row],[Account]],BV_Data_An_Cour!$L:$Q,6,0)</f>
        <v>#N/A</v>
      </c>
      <c r="H520" s="2"/>
    </row>
    <row r="521" spans="1:11" ht="15" customHeight="1">
      <c r="A521" s="162" t="s">
        <v>1529</v>
      </c>
      <c r="B521" s="163" t="s">
        <v>1528</v>
      </c>
      <c r="C521" s="159" t="s">
        <v>140</v>
      </c>
      <c r="D521" s="159" t="s">
        <v>144</v>
      </c>
      <c r="E521" s="187" t="s">
        <v>1909</v>
      </c>
      <c r="F521" s="2"/>
      <c r="G521" s="187" t="e">
        <f>+VLOOKUP(Table_1[[#This Row],[Account]],BV_Data_An_Cour!$L:$Q,6,0)</f>
        <v>#N/A</v>
      </c>
      <c r="H521" s="2"/>
    </row>
    <row r="522" spans="1:11" ht="15" customHeight="1">
      <c r="A522" s="476" t="s">
        <v>398</v>
      </c>
      <c r="B522" s="483" t="s">
        <v>1070</v>
      </c>
      <c r="C522" s="159" t="s">
        <v>140</v>
      </c>
      <c r="D522" s="159" t="s">
        <v>144</v>
      </c>
      <c r="E522" s="187" t="s">
        <v>285</v>
      </c>
      <c r="F522" s="2" t="s">
        <v>1908</v>
      </c>
      <c r="G522" s="187" t="str">
        <f>+VLOOKUP(Table_1[[#This Row],[Account]],BV_Data_An_Cour!$L:$Q,6,0)</f>
        <v>5-Ventes</v>
      </c>
      <c r="H522" s="2"/>
    </row>
    <row r="523" spans="1:11" ht="15" customHeight="1">
      <c r="A523" s="169" t="s">
        <v>725</v>
      </c>
      <c r="B523" s="169" t="s">
        <v>1530</v>
      </c>
      <c r="C523" s="159" t="s">
        <v>140</v>
      </c>
      <c r="D523" s="159" t="s">
        <v>144</v>
      </c>
      <c r="E523" s="187" t="s">
        <v>1909</v>
      </c>
      <c r="F523" s="2"/>
      <c r="G523" s="187" t="str">
        <f>+VLOOKUP(Table_1[[#This Row],[Account]],BV_Data_An_Cour!$L:$Q,6,0)</f>
        <v>10-Compte compteur</v>
      </c>
      <c r="H523" s="2"/>
    </row>
    <row r="524" spans="1:11" ht="15" customHeight="1">
      <c r="A524" s="476" t="s">
        <v>401</v>
      </c>
      <c r="B524" s="483" t="s">
        <v>1076</v>
      </c>
      <c r="C524" s="159" t="s">
        <v>140</v>
      </c>
      <c r="D524" s="159" t="s">
        <v>144</v>
      </c>
      <c r="E524" s="187" t="s">
        <v>285</v>
      </c>
      <c r="F524" s="2" t="s">
        <v>1908</v>
      </c>
      <c r="G524" s="187" t="str">
        <f>+VLOOKUP(Table_1[[#This Row],[Account]],BV_Data_An_Cour!$L:$Q,6,0)</f>
        <v>5-Ventes</v>
      </c>
      <c r="H524" s="2"/>
    </row>
    <row r="525" spans="1:11" ht="15" customHeight="1">
      <c r="A525" s="169" t="s">
        <v>726</v>
      </c>
      <c r="B525" s="169" t="s">
        <v>1531</v>
      </c>
      <c r="C525" s="159" t="s">
        <v>140</v>
      </c>
      <c r="D525" s="159" t="s">
        <v>144</v>
      </c>
      <c r="E525" s="187" t="s">
        <v>1909</v>
      </c>
      <c r="F525" s="2"/>
      <c r="G525" s="187" t="str">
        <f>+VLOOKUP(Table_1[[#This Row],[Account]],BV_Data_An_Cour!$L:$Q,6,0)</f>
        <v>10-Compte compteur</v>
      </c>
      <c r="H525" s="2"/>
    </row>
    <row r="526" spans="1:11" ht="15" customHeight="1">
      <c r="A526" s="168" t="s">
        <v>418</v>
      </c>
      <c r="B526" s="169" t="s">
        <v>1086</v>
      </c>
      <c r="C526" s="159" t="s">
        <v>140</v>
      </c>
      <c r="D526" s="159" t="s">
        <v>141</v>
      </c>
      <c r="E526" s="187" t="s">
        <v>285</v>
      </c>
      <c r="F526" s="2" t="s">
        <v>1908</v>
      </c>
      <c r="G526" s="187" t="str">
        <f>+VLOOKUP(Table_1[[#This Row],[Account]],BV_Data_An_Cour!$L:$Q,6,0)</f>
        <v>5-Ventes</v>
      </c>
      <c r="H526" s="2"/>
    </row>
    <row r="527" spans="1:11" ht="15" customHeight="1">
      <c r="A527" s="157" t="s">
        <v>727</v>
      </c>
      <c r="B527" s="158" t="s">
        <v>1532</v>
      </c>
      <c r="C527" s="159" t="s">
        <v>140</v>
      </c>
      <c r="D527" s="159" t="s">
        <v>141</v>
      </c>
      <c r="E527" s="187" t="s">
        <v>1909</v>
      </c>
      <c r="F527" s="2"/>
      <c r="G527" s="187" t="str">
        <f>+VLOOKUP(Table_1[[#This Row],[Account]],BV_Data_An_Cour!$L:$Q,6,0)</f>
        <v>10-Compte compteur</v>
      </c>
      <c r="H527" s="2"/>
    </row>
    <row r="528" spans="1:11" ht="15" customHeight="1">
      <c r="A528" s="157" t="s">
        <v>404</v>
      </c>
      <c r="B528" s="158" t="s">
        <v>1088</v>
      </c>
      <c r="C528" s="159" t="s">
        <v>140</v>
      </c>
      <c r="D528" s="159" t="s">
        <v>142</v>
      </c>
      <c r="E528" s="187" t="s">
        <v>285</v>
      </c>
      <c r="F528" s="2" t="s">
        <v>1908</v>
      </c>
      <c r="G528" s="187" t="str">
        <f>+VLOOKUP(Table_1[[#This Row],[Account]],BV_Data_An_Cour!$L:$Q,6,0)</f>
        <v>5-Ventes</v>
      </c>
      <c r="H528" s="2"/>
    </row>
    <row r="529" spans="1:11" ht="15" customHeight="1">
      <c r="A529" s="162" t="s">
        <v>728</v>
      </c>
      <c r="B529" s="163" t="s">
        <v>1533</v>
      </c>
      <c r="C529" s="159" t="s">
        <v>140</v>
      </c>
      <c r="D529" s="159" t="s">
        <v>142</v>
      </c>
      <c r="E529" s="187" t="s">
        <v>1909</v>
      </c>
      <c r="F529" s="2"/>
      <c r="G529" s="187" t="str">
        <f>+VLOOKUP(Table_1[[#This Row],[Account]],BV_Data_An_Cour!$L:$Q,6,0)</f>
        <v>10-Compte compteur</v>
      </c>
      <c r="H529" s="2"/>
    </row>
    <row r="530" spans="1:11" ht="15" customHeight="1">
      <c r="A530" s="168" t="s">
        <v>629</v>
      </c>
      <c r="B530" s="169" t="s">
        <v>628</v>
      </c>
      <c r="C530" s="159" t="s">
        <v>75</v>
      </c>
      <c r="D530" s="159" t="s">
        <v>87</v>
      </c>
      <c r="E530" s="187" t="s">
        <v>285</v>
      </c>
      <c r="F530" s="2" t="s">
        <v>1908</v>
      </c>
      <c r="G530" s="187" t="e">
        <f>+VLOOKUP(Table_1[[#This Row],[Account]],BV_Data_An_Cour!$L:$Q,6,0)</f>
        <v>#N/A</v>
      </c>
      <c r="H530" s="2"/>
      <c r="K530" s="2"/>
    </row>
    <row r="531" spans="1:11" ht="15" customHeight="1">
      <c r="A531" s="158" t="s">
        <v>729</v>
      </c>
      <c r="B531" s="158" t="s">
        <v>1534</v>
      </c>
      <c r="C531" s="159" t="s">
        <v>75</v>
      </c>
      <c r="D531" s="159" t="s">
        <v>87</v>
      </c>
      <c r="E531" s="187" t="s">
        <v>1909</v>
      </c>
      <c r="F531" s="2"/>
      <c r="G531" s="187" t="e">
        <f>+VLOOKUP(Table_1[[#This Row],[Account]],BV_Data_An_Cour!$L:$Q,6,0)</f>
        <v>#N/A</v>
      </c>
      <c r="H531" s="2"/>
    </row>
    <row r="532" spans="1:11" ht="15" customHeight="1">
      <c r="A532" s="168" t="s">
        <v>400</v>
      </c>
      <c r="B532" s="169" t="s">
        <v>1396</v>
      </c>
      <c r="C532" s="159" t="s">
        <v>75</v>
      </c>
      <c r="D532" s="159" t="s">
        <v>93</v>
      </c>
      <c r="E532" s="187" t="s">
        <v>285</v>
      </c>
      <c r="F532" s="2" t="s">
        <v>1908</v>
      </c>
      <c r="G532" s="187" t="str">
        <f>+VLOOKUP(Table_1[[#This Row],[Account]],BV_Data_An_Cour!$L:$Q,6,0)</f>
        <v>5-Ventes</v>
      </c>
      <c r="H532" s="2"/>
    </row>
    <row r="533" spans="1:11" ht="15" customHeight="1">
      <c r="A533" s="162" t="s">
        <v>730</v>
      </c>
      <c r="B533" s="163" t="s">
        <v>1535</v>
      </c>
      <c r="C533" s="159" t="s">
        <v>75</v>
      </c>
      <c r="D533" s="159" t="s">
        <v>93</v>
      </c>
      <c r="E533" s="187" t="s">
        <v>1909</v>
      </c>
      <c r="F533" s="187"/>
      <c r="G533" s="187" t="str">
        <f>+VLOOKUP(Table_1[[#This Row],[Account]],BV_Data_An_Cour!$L:$Q,6,0)</f>
        <v>10-Compte compteur</v>
      </c>
      <c r="H533" s="2"/>
    </row>
    <row r="534" spans="1:11" ht="15" customHeight="1">
      <c r="A534" s="157" t="s">
        <v>1012</v>
      </c>
      <c r="B534" s="158" t="s">
        <v>1186</v>
      </c>
      <c r="C534" s="159" t="s">
        <v>140</v>
      </c>
      <c r="D534" s="159" t="s">
        <v>96</v>
      </c>
      <c r="E534" s="187" t="s">
        <v>285</v>
      </c>
      <c r="F534" s="2" t="s">
        <v>1908</v>
      </c>
      <c r="G534" s="187" t="str">
        <f>+VLOOKUP(Table_1[[#This Row],[Account]],BV_Data_An_Cour!$L:$Q,6,0)</f>
        <v>5-Ventes</v>
      </c>
      <c r="H534" s="2"/>
    </row>
    <row r="535" spans="1:11" ht="15" customHeight="1">
      <c r="A535" s="163" t="s">
        <v>1044</v>
      </c>
      <c r="B535" s="163" t="s">
        <v>1536</v>
      </c>
      <c r="C535" s="159" t="s">
        <v>140</v>
      </c>
      <c r="D535" s="159" t="s">
        <v>96</v>
      </c>
      <c r="E535" s="187" t="s">
        <v>1909</v>
      </c>
      <c r="F535" s="2"/>
      <c r="G535" s="187" t="str">
        <f>+VLOOKUP(Table_1[[#This Row],[Account]],BV_Data_An_Cour!$L:$Q,6,0)</f>
        <v>10-Compte compteur</v>
      </c>
      <c r="H535" s="2"/>
    </row>
    <row r="536" spans="1:11" ht="15" customHeight="1">
      <c r="A536" s="476" t="s">
        <v>995</v>
      </c>
      <c r="B536" s="483" t="s">
        <v>994</v>
      </c>
      <c r="C536" s="159" t="s">
        <v>75</v>
      </c>
      <c r="D536" s="159" t="s">
        <v>86</v>
      </c>
      <c r="E536" s="187" t="s">
        <v>285</v>
      </c>
      <c r="F536" s="2" t="s">
        <v>1908</v>
      </c>
      <c r="G536" s="187" t="e">
        <f>+VLOOKUP(Table_1[[#This Row],[Account]],BV_Data_An_Cour!$L:$Q,6,0)</f>
        <v>#N/A</v>
      </c>
      <c r="H536" s="2"/>
    </row>
    <row r="537" spans="1:11" ht="15" customHeight="1">
      <c r="A537" s="162" t="s">
        <v>1006</v>
      </c>
      <c r="B537" s="163" t="s">
        <v>1005</v>
      </c>
      <c r="C537" s="159" t="s">
        <v>75</v>
      </c>
      <c r="D537" s="159" t="s">
        <v>86</v>
      </c>
      <c r="E537" s="187" t="s">
        <v>1909</v>
      </c>
      <c r="F537" s="2"/>
      <c r="G537" s="187" t="e">
        <f>+VLOOKUP(Table_1[[#This Row],[Account]],BV_Data_An_Cour!$L:$Q,6,0)</f>
        <v>#N/A</v>
      </c>
      <c r="H537" s="2"/>
    </row>
    <row r="538" spans="1:11" ht="15" customHeight="1">
      <c r="A538" s="162" t="s">
        <v>411</v>
      </c>
      <c r="B538" s="163" t="s">
        <v>1397</v>
      </c>
      <c r="C538" s="159" t="s">
        <v>75</v>
      </c>
      <c r="D538" s="159" t="s">
        <v>86</v>
      </c>
      <c r="E538" s="187" t="s">
        <v>285</v>
      </c>
      <c r="F538" s="2" t="s">
        <v>1908</v>
      </c>
      <c r="G538" s="187" t="e">
        <f>+VLOOKUP(Table_1[[#This Row],[Account]],BV_Data_An_Cour!$L:$Q,6,0)</f>
        <v>#N/A</v>
      </c>
      <c r="H538" s="2"/>
    </row>
    <row r="539" spans="1:11" ht="15" customHeight="1">
      <c r="A539" s="157" t="s">
        <v>731</v>
      </c>
      <c r="B539" s="158" t="s">
        <v>1537</v>
      </c>
      <c r="C539" s="159" t="s">
        <v>75</v>
      </c>
      <c r="D539" s="159" t="s">
        <v>86</v>
      </c>
      <c r="E539" s="187" t="s">
        <v>1909</v>
      </c>
      <c r="F539" s="2"/>
      <c r="G539" s="187" t="e">
        <f>+VLOOKUP(Table_1[[#This Row],[Account]],BV_Data_An_Cour!$L:$Q,6,0)</f>
        <v>#N/A</v>
      </c>
      <c r="H539" s="2"/>
    </row>
    <row r="540" spans="1:11" ht="15" customHeight="1">
      <c r="A540" s="476" t="s">
        <v>630</v>
      </c>
      <c r="B540" s="483" t="s">
        <v>1398</v>
      </c>
      <c r="C540" s="159" t="s">
        <v>140</v>
      </c>
      <c r="D540" s="159" t="s">
        <v>96</v>
      </c>
      <c r="E540" s="187" t="s">
        <v>285</v>
      </c>
      <c r="F540" s="2" t="s">
        <v>1908</v>
      </c>
      <c r="G540" s="187" t="str">
        <f>+VLOOKUP(Table_1[[#This Row],[Account]],BV_Data_An_Cour!$L:$Q,6,0)</f>
        <v>5-Ventes</v>
      </c>
      <c r="H540" s="2"/>
    </row>
    <row r="541" spans="1:11" ht="15" customHeight="1">
      <c r="A541" s="168" t="s">
        <v>732</v>
      </c>
      <c r="B541" s="169" t="s">
        <v>1538</v>
      </c>
      <c r="C541" s="159" t="s">
        <v>140</v>
      </c>
      <c r="D541" s="159" t="s">
        <v>96</v>
      </c>
      <c r="E541" s="187" t="s">
        <v>1909</v>
      </c>
      <c r="F541" s="2"/>
      <c r="G541" s="187" t="str">
        <f>+VLOOKUP(Table_1[[#This Row],[Account]],BV_Data_An_Cour!$L:$Q,6,0)</f>
        <v>10-Compte compteur</v>
      </c>
      <c r="H541" s="2"/>
    </row>
    <row r="542" spans="1:11" ht="15" customHeight="1">
      <c r="A542" s="162" t="s">
        <v>1026</v>
      </c>
      <c r="B542" s="163" t="s">
        <v>1025</v>
      </c>
      <c r="C542" s="159" t="s">
        <v>75</v>
      </c>
      <c r="D542" s="159" t="s">
        <v>86</v>
      </c>
      <c r="E542" s="187" t="s">
        <v>285</v>
      </c>
      <c r="F542" s="2" t="s">
        <v>1908</v>
      </c>
      <c r="G542" s="187" t="e">
        <f>+VLOOKUP(Table_1[[#This Row],[Account]],BV_Data_An_Cour!$L:$Q,6,0)</f>
        <v>#N/A</v>
      </c>
      <c r="H542" s="2"/>
    </row>
    <row r="543" spans="1:11" ht="15" customHeight="1">
      <c r="A543" s="1210" t="s">
        <v>1046</v>
      </c>
      <c r="B543" s="1214" t="s">
        <v>1045</v>
      </c>
      <c r="C543" s="159" t="s">
        <v>75</v>
      </c>
      <c r="D543" s="159" t="s">
        <v>86</v>
      </c>
      <c r="E543" s="187" t="s">
        <v>1909</v>
      </c>
      <c r="F543" s="2"/>
      <c r="G543" s="187" t="e">
        <f>+VLOOKUP(Table_1[[#This Row],[Account]],BV_Data_An_Cour!$L:$Q,6,0)</f>
        <v>#N/A</v>
      </c>
      <c r="H543" s="2"/>
    </row>
    <row r="544" spans="1:11" ht="15" customHeight="1">
      <c r="A544" s="474" t="s">
        <v>1191</v>
      </c>
      <c r="B544" s="482" t="s">
        <v>1190</v>
      </c>
      <c r="C544" s="159" t="s">
        <v>140</v>
      </c>
      <c r="D544" s="159" t="s">
        <v>95</v>
      </c>
      <c r="E544" s="187" t="s">
        <v>285</v>
      </c>
      <c r="F544" s="2" t="s">
        <v>1908</v>
      </c>
      <c r="G544" s="187" t="str">
        <f>+VLOOKUP(Table_1[[#This Row],[Account]],BV_Data_An_Cour!$L:$Q,6,0)</f>
        <v>5-Ventes</v>
      </c>
      <c r="H544" s="2"/>
    </row>
    <row r="545" spans="1:8" ht="15" customHeight="1">
      <c r="A545" s="479" t="s">
        <v>1540</v>
      </c>
      <c r="B545" s="164" t="s">
        <v>1539</v>
      </c>
      <c r="C545" s="159" t="s">
        <v>140</v>
      </c>
      <c r="D545" s="159" t="s">
        <v>95</v>
      </c>
      <c r="E545" s="187" t="s">
        <v>1909</v>
      </c>
      <c r="F545" s="2"/>
      <c r="G545" s="187" t="str">
        <f>+VLOOKUP(Table_1[[#This Row],[Account]],BV_Data_An_Cour!$L:$Q,6,0)</f>
        <v>10-Compte compteur</v>
      </c>
      <c r="H545" s="2"/>
    </row>
    <row r="546" spans="1:8" ht="15" customHeight="1">
      <c r="A546" s="157" t="s">
        <v>437</v>
      </c>
      <c r="B546" s="158" t="s">
        <v>1650</v>
      </c>
      <c r="C546" s="159" t="s">
        <v>140</v>
      </c>
      <c r="D546" s="159" t="s">
        <v>94</v>
      </c>
      <c r="E546" s="187" t="s">
        <v>285</v>
      </c>
      <c r="F546" s="2" t="s">
        <v>1908</v>
      </c>
      <c r="G546" s="187" t="str">
        <f>+VLOOKUP(Table_1[[#This Row],[Account]],BV_Data_An_Cour!$L:$Q,6,0)</f>
        <v>5-Ventes</v>
      </c>
      <c r="H546" s="2"/>
    </row>
    <row r="547" spans="1:8" ht="15" customHeight="1">
      <c r="A547" s="157" t="s">
        <v>733</v>
      </c>
      <c r="B547" s="158" t="s">
        <v>1541</v>
      </c>
      <c r="C547" s="159" t="s">
        <v>140</v>
      </c>
      <c r="D547" s="159" t="s">
        <v>94</v>
      </c>
      <c r="E547" s="187" t="s">
        <v>1909</v>
      </c>
      <c r="F547" s="2"/>
      <c r="G547" s="187" t="str">
        <f>+VLOOKUP(Table_1[[#This Row],[Account]],BV_Data_An_Cour!$L:$Q,6,0)</f>
        <v>10-Compte compteur</v>
      </c>
      <c r="H547" s="2"/>
    </row>
    <row r="548" spans="1:8" ht="15" customHeight="1">
      <c r="A548" s="478" t="s">
        <v>2125</v>
      </c>
      <c r="B548" s="478" t="s">
        <v>2139</v>
      </c>
      <c r="C548" s="159" t="s">
        <v>140</v>
      </c>
      <c r="D548" s="159" t="s">
        <v>94</v>
      </c>
      <c r="E548" s="187" t="s">
        <v>285</v>
      </c>
      <c r="F548" s="2" t="s">
        <v>1908</v>
      </c>
      <c r="G548" s="187" t="e">
        <f>+VLOOKUP(Table_1[[#This Row],[Account]],BV_Data_An_Cour!$L:$Q,6,0)</f>
        <v>#N/A</v>
      </c>
      <c r="H548" s="2"/>
    </row>
    <row r="549" spans="1:8" ht="15" customHeight="1">
      <c r="A549" s="474" t="s">
        <v>2134</v>
      </c>
      <c r="B549" s="733" t="s">
        <v>2140</v>
      </c>
      <c r="C549" s="159" t="s">
        <v>140</v>
      </c>
      <c r="D549" s="159" t="s">
        <v>94</v>
      </c>
      <c r="E549" s="187" t="s">
        <v>283</v>
      </c>
      <c r="F549" s="160"/>
      <c r="G549" s="493"/>
      <c r="H549" s="2"/>
    </row>
    <row r="550" spans="1:8" ht="15" customHeight="1">
      <c r="A550" s="475" t="s">
        <v>1079</v>
      </c>
      <c r="B550" s="480" t="s">
        <v>1078</v>
      </c>
      <c r="C550" s="159" t="s">
        <v>75</v>
      </c>
      <c r="D550" s="159" t="s">
        <v>86</v>
      </c>
      <c r="E550" s="187" t="s">
        <v>285</v>
      </c>
      <c r="F550" s="2" t="s">
        <v>1908</v>
      </c>
      <c r="G550" s="187" t="e">
        <f>+VLOOKUP(Table_1[[#This Row],[Account]],BV_Data_An_Cour!$L:$Q,6,0)</f>
        <v>#N/A</v>
      </c>
      <c r="H550" s="2"/>
    </row>
    <row r="551" spans="1:8" ht="15" customHeight="1">
      <c r="A551" s="163" t="s">
        <v>1543</v>
      </c>
      <c r="B551" s="163" t="s">
        <v>1542</v>
      </c>
      <c r="C551" s="159" t="s">
        <v>75</v>
      </c>
      <c r="D551" s="159" t="s">
        <v>86</v>
      </c>
      <c r="E551" s="187" t="s">
        <v>1909</v>
      </c>
      <c r="F551" s="2"/>
      <c r="G551" s="187" t="e">
        <f>+VLOOKUP(Table_1[[#This Row],[Account]],BV_Data_An_Cour!$L:$Q,6,0)</f>
        <v>#N/A</v>
      </c>
      <c r="H551" s="2"/>
    </row>
    <row r="552" spans="1:8" ht="15" customHeight="1">
      <c r="A552" s="165" t="s">
        <v>1400</v>
      </c>
      <c r="B552" s="164" t="s">
        <v>1399</v>
      </c>
      <c r="C552" s="159" t="s">
        <v>140</v>
      </c>
      <c r="D552" s="159" t="s">
        <v>95</v>
      </c>
      <c r="E552" s="187" t="s">
        <v>285</v>
      </c>
      <c r="F552" s="2" t="s">
        <v>1908</v>
      </c>
      <c r="G552" s="187" t="e">
        <f>+VLOOKUP(Table_1[[#This Row],[Account]],BV_Data_An_Cour!$L:$Q,6,0)</f>
        <v>#N/A</v>
      </c>
      <c r="H552" s="2"/>
    </row>
    <row r="553" spans="1:8" ht="15" customHeight="1">
      <c r="A553" s="168" t="s">
        <v>1545</v>
      </c>
      <c r="B553" s="169" t="s">
        <v>1544</v>
      </c>
      <c r="C553" s="159" t="s">
        <v>140</v>
      </c>
      <c r="D553" s="159" t="s">
        <v>95</v>
      </c>
      <c r="E553" s="187" t="s">
        <v>1909</v>
      </c>
      <c r="F553" s="2"/>
      <c r="G553" s="187" t="e">
        <f>+VLOOKUP(Table_1[[#This Row],[Account]],BV_Data_An_Cour!$L:$Q,6,0)</f>
        <v>#N/A</v>
      </c>
      <c r="H553" s="2"/>
    </row>
    <row r="554" spans="1:8" ht="15" customHeight="1">
      <c r="A554" s="479" t="s">
        <v>2013</v>
      </c>
      <c r="B554" s="478" t="s">
        <v>2012</v>
      </c>
      <c r="C554" s="159" t="s">
        <v>140</v>
      </c>
      <c r="D554" s="468" t="s">
        <v>95</v>
      </c>
      <c r="E554" s="187" t="s">
        <v>285</v>
      </c>
      <c r="F554" s="2" t="s">
        <v>1908</v>
      </c>
      <c r="G554" s="187" t="s">
        <v>2006</v>
      </c>
      <c r="H554" s="2"/>
    </row>
    <row r="555" spans="1:8" ht="15" customHeight="1">
      <c r="A555" s="163" t="s">
        <v>2026</v>
      </c>
      <c r="B555" s="163" t="s">
        <v>2025</v>
      </c>
      <c r="C555" s="159" t="s">
        <v>140</v>
      </c>
      <c r="D555" s="468" t="s">
        <v>95</v>
      </c>
      <c r="E555" s="187" t="s">
        <v>283</v>
      </c>
      <c r="F555" s="2"/>
      <c r="G555" s="187" t="e">
        <f>+VLOOKUP(Table_1[[#This Row],[Account]],BV_Data_An_Cour!$L:$Q,6,0)</f>
        <v>#N/A</v>
      </c>
      <c r="H555" s="2"/>
    </row>
    <row r="556" spans="1:8" ht="15" customHeight="1">
      <c r="A556" s="165" t="s">
        <v>1402</v>
      </c>
      <c r="B556" s="164" t="s">
        <v>1401</v>
      </c>
      <c r="C556" s="159" t="s">
        <v>140</v>
      </c>
      <c r="D556" s="159" t="s">
        <v>96</v>
      </c>
      <c r="E556" s="187" t="s">
        <v>285</v>
      </c>
      <c r="F556" s="2" t="s">
        <v>1908</v>
      </c>
      <c r="G556" s="187" t="e">
        <f>+VLOOKUP(Table_1[[#This Row],[Account]],BV_Data_An_Cour!$L:$Q,6,0)</f>
        <v>#N/A</v>
      </c>
      <c r="H556" s="2"/>
    </row>
    <row r="557" spans="1:8" ht="15" customHeight="1">
      <c r="A557" s="476" t="s">
        <v>1547</v>
      </c>
      <c r="B557" s="483" t="s">
        <v>1546</v>
      </c>
      <c r="C557" s="159" t="s">
        <v>140</v>
      </c>
      <c r="D557" s="159" t="s">
        <v>96</v>
      </c>
      <c r="E557" s="187" t="s">
        <v>1909</v>
      </c>
      <c r="F557" s="2"/>
      <c r="G557" s="187" t="e">
        <f>+VLOOKUP(Table_1[[#This Row],[Account]],BV_Data_An_Cour!$L:$Q,6,0)</f>
        <v>#N/A</v>
      </c>
      <c r="H557" s="2"/>
    </row>
    <row r="558" spans="1:8" ht="15" customHeight="1">
      <c r="A558" s="162" t="s">
        <v>1404</v>
      </c>
      <c r="B558" s="482" t="s">
        <v>1403</v>
      </c>
      <c r="C558" s="159" t="s">
        <v>140</v>
      </c>
      <c r="D558" s="159" t="s">
        <v>95</v>
      </c>
      <c r="E558" s="187" t="s">
        <v>285</v>
      </c>
      <c r="F558" s="2" t="s">
        <v>1908</v>
      </c>
      <c r="G558" s="187" t="e">
        <f>+VLOOKUP(Table_1[[#This Row],[Account]],BV_Data_An_Cour!$L:$Q,6,0)</f>
        <v>#N/A</v>
      </c>
      <c r="H558" s="2"/>
    </row>
    <row r="559" spans="1:8" ht="15" customHeight="1">
      <c r="A559" s="168" t="s">
        <v>1549</v>
      </c>
      <c r="B559" s="169" t="s">
        <v>1548</v>
      </c>
      <c r="C559" s="159" t="s">
        <v>140</v>
      </c>
      <c r="D559" s="159" t="s">
        <v>95</v>
      </c>
      <c r="E559" s="187" t="s">
        <v>1909</v>
      </c>
      <c r="F559" s="2"/>
      <c r="G559" s="187" t="e">
        <f>+VLOOKUP(Table_1[[#This Row],[Account]],BV_Data_An_Cour!$L:$Q,6,0)</f>
        <v>#N/A</v>
      </c>
      <c r="H559" s="2"/>
    </row>
    <row r="560" spans="1:8" ht="15" customHeight="1">
      <c r="A560" s="162" t="s">
        <v>1406</v>
      </c>
      <c r="B560" s="163" t="s">
        <v>1405</v>
      </c>
      <c r="C560" s="159" t="s">
        <v>140</v>
      </c>
      <c r="D560" s="159" t="s">
        <v>96</v>
      </c>
      <c r="E560" s="187" t="s">
        <v>285</v>
      </c>
      <c r="F560" s="2" t="s">
        <v>1908</v>
      </c>
      <c r="G560" s="187" t="e">
        <f>+VLOOKUP(Table_1[[#This Row],[Account]],BV_Data_An_Cour!$L:$Q,6,0)</f>
        <v>#N/A</v>
      </c>
      <c r="H560" s="2"/>
    </row>
    <row r="561" spans="1:29" ht="15" customHeight="1">
      <c r="A561" s="168" t="s">
        <v>1551</v>
      </c>
      <c r="B561" s="169" t="s">
        <v>1550</v>
      </c>
      <c r="C561" s="159" t="s">
        <v>140</v>
      </c>
      <c r="D561" s="159" t="s">
        <v>96</v>
      </c>
      <c r="E561" s="187" t="s">
        <v>1909</v>
      </c>
      <c r="F561" s="2"/>
      <c r="G561" s="187" t="e">
        <f>+VLOOKUP(Table_1[[#This Row],[Account]],BV_Data_An_Cour!$L:$Q,6,0)</f>
        <v>#N/A</v>
      </c>
      <c r="H561" s="2"/>
    </row>
    <row r="562" spans="1:29" ht="15" customHeight="1">
      <c r="A562" s="163" t="s">
        <v>374</v>
      </c>
      <c r="B562" s="163" t="s">
        <v>1407</v>
      </c>
      <c r="C562" s="159" t="s">
        <v>140</v>
      </c>
      <c r="D562" s="159" t="s">
        <v>96</v>
      </c>
      <c r="E562" s="187" t="s">
        <v>285</v>
      </c>
      <c r="F562" s="2" t="s">
        <v>1908</v>
      </c>
      <c r="G562" s="187" t="e">
        <f>+VLOOKUP(Table_1[[#This Row],[Account]],BV_Data_An_Cour!$L:$Q,6,0)</f>
        <v>#N/A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57" t="s">
        <v>1553</v>
      </c>
      <c r="B563" s="158" t="s">
        <v>1552</v>
      </c>
      <c r="C563" s="159" t="s">
        <v>140</v>
      </c>
      <c r="D563" s="159" t="s">
        <v>96</v>
      </c>
      <c r="E563" s="187" t="s">
        <v>1909</v>
      </c>
      <c r="F563" s="2"/>
      <c r="G563" s="187" t="e">
        <f>+VLOOKUP(Table_1[[#This Row],[Account]],BV_Data_An_Cour!$L:$Q,6,0)</f>
        <v>#N/A</v>
      </c>
      <c r="H563" s="2"/>
    </row>
    <row r="564" spans="1:29" ht="15" customHeight="1">
      <c r="A564" s="163" t="s">
        <v>2095</v>
      </c>
      <c r="B564" s="163" t="s">
        <v>2096</v>
      </c>
      <c r="C564" s="159" t="s">
        <v>140</v>
      </c>
      <c r="D564" s="159" t="s">
        <v>96</v>
      </c>
      <c r="E564" s="187" t="s">
        <v>285</v>
      </c>
      <c r="F564" s="2" t="s">
        <v>1908</v>
      </c>
      <c r="G564" s="187" t="e">
        <f>+VLOOKUP(Table_1[[#This Row],[Account]],BV_Data_An_Cour!$L:$Q,6,0)</f>
        <v>#N/A</v>
      </c>
      <c r="H564" s="2"/>
    </row>
    <row r="565" spans="1:29" ht="15" customHeight="1">
      <c r="A565" s="170" t="s">
        <v>2109</v>
      </c>
      <c r="B565" s="171" t="s">
        <v>2110</v>
      </c>
      <c r="C565" s="159" t="s">
        <v>140</v>
      </c>
      <c r="D565" s="159" t="s">
        <v>96</v>
      </c>
      <c r="E565" s="155" t="s">
        <v>1909</v>
      </c>
      <c r="G565" s="187" t="e">
        <f>+VLOOKUP(Table_1[[#This Row],[Account]],BV_Data_An_Cour!$L:$Q,6,0)</f>
        <v>#N/A</v>
      </c>
      <c r="H565" s="2"/>
    </row>
    <row r="566" spans="1:29" ht="15" customHeight="1">
      <c r="A566" s="157" t="s">
        <v>1409</v>
      </c>
      <c r="B566" s="158" t="s">
        <v>1408</v>
      </c>
      <c r="C566" s="159" t="s">
        <v>75</v>
      </c>
      <c r="D566" s="159" t="s">
        <v>86</v>
      </c>
      <c r="E566" s="187" t="s">
        <v>285</v>
      </c>
      <c r="F566" s="2" t="s">
        <v>1908</v>
      </c>
      <c r="G566" s="187" t="e">
        <f>+VLOOKUP(Table_1[[#This Row],[Account]],BV_Data_An_Cour!$L:$Q,6,0)</f>
        <v>#N/A</v>
      </c>
      <c r="H566" s="2"/>
    </row>
    <row r="567" spans="1:29" ht="15" customHeight="1">
      <c r="A567" s="170" t="s">
        <v>1555</v>
      </c>
      <c r="B567" s="171" t="s">
        <v>1554</v>
      </c>
      <c r="C567" s="159" t="s">
        <v>75</v>
      </c>
      <c r="D567" s="159" t="s">
        <v>86</v>
      </c>
      <c r="E567" s="187" t="s">
        <v>1909</v>
      </c>
      <c r="F567" s="2"/>
      <c r="G567" s="187" t="e">
        <f>+VLOOKUP(Table_1[[#This Row],[Account]],BV_Data_An_Cour!$L:$Q,6,0)</f>
        <v>#N/A</v>
      </c>
      <c r="H567" s="2"/>
    </row>
    <row r="568" spans="1:29" ht="15" customHeight="1">
      <c r="A568" s="479" t="s">
        <v>2127</v>
      </c>
      <c r="B568" s="480" t="s">
        <v>2126</v>
      </c>
      <c r="C568" s="159" t="s">
        <v>75</v>
      </c>
      <c r="D568" s="159" t="s">
        <v>86</v>
      </c>
      <c r="E568" s="187" t="s">
        <v>285</v>
      </c>
      <c r="F568" s="2" t="s">
        <v>1908</v>
      </c>
      <c r="G568" s="493"/>
      <c r="H568" s="2"/>
    </row>
    <row r="569" spans="1:29" ht="15" customHeight="1">
      <c r="A569" s="165" t="s">
        <v>2136</v>
      </c>
      <c r="B569" s="172" t="s">
        <v>2135</v>
      </c>
      <c r="C569" s="159" t="s">
        <v>75</v>
      </c>
      <c r="D569" s="159" t="s">
        <v>86</v>
      </c>
      <c r="E569" s="187" t="s">
        <v>283</v>
      </c>
      <c r="F569" s="160"/>
      <c r="G569" s="493"/>
      <c r="H569" s="2"/>
    </row>
    <row r="570" spans="1:29" ht="15" customHeight="1">
      <c r="A570" s="479" t="s">
        <v>2913</v>
      </c>
      <c r="B570" s="480" t="s">
        <v>2912</v>
      </c>
      <c r="C570" s="159" t="s">
        <v>140</v>
      </c>
      <c r="D570" s="159" t="s">
        <v>95</v>
      </c>
      <c r="E570" s="187" t="s">
        <v>285</v>
      </c>
      <c r="F570" s="2" t="s">
        <v>1908</v>
      </c>
      <c r="G570" s="493"/>
      <c r="H570" s="2"/>
      <c r="K570" s="2"/>
    </row>
    <row r="571" spans="1:29" ht="15" customHeight="1">
      <c r="A571" s="479" t="s">
        <v>2921</v>
      </c>
      <c r="B571" s="480" t="s">
        <v>2920</v>
      </c>
      <c r="C571" s="159" t="s">
        <v>140</v>
      </c>
      <c r="D571" s="159" t="s">
        <v>95</v>
      </c>
      <c r="E571" s="187" t="s">
        <v>1909</v>
      </c>
      <c r="F571" s="160"/>
      <c r="G571" s="493"/>
      <c r="H571" s="2"/>
    </row>
    <row r="572" spans="1:29" ht="15" customHeight="1">
      <c r="A572" s="170" t="s">
        <v>2097</v>
      </c>
      <c r="B572" s="171" t="s">
        <v>2098</v>
      </c>
      <c r="C572" s="159" t="s">
        <v>140</v>
      </c>
      <c r="D572" s="159" t="s">
        <v>96</v>
      </c>
      <c r="E572" s="187" t="s">
        <v>285</v>
      </c>
      <c r="F572" s="2" t="s">
        <v>1908</v>
      </c>
      <c r="G572" s="187" t="e">
        <f>+VLOOKUP(Table_1[[#This Row],[Account]],BV_Data_An_Cour!$L:$Q,6,0)</f>
        <v>#N/A</v>
      </c>
      <c r="H572" s="2"/>
    </row>
    <row r="573" spans="1:29" ht="15" customHeight="1">
      <c r="A573" s="479" t="s">
        <v>2111</v>
      </c>
      <c r="B573" s="166" t="s">
        <v>2112</v>
      </c>
      <c r="C573" s="159" t="s">
        <v>140</v>
      </c>
      <c r="D573" s="159" t="s">
        <v>96</v>
      </c>
      <c r="E573" s="187" t="s">
        <v>283</v>
      </c>
      <c r="F573" s="2"/>
      <c r="G573" s="187" t="e">
        <f>+VLOOKUP(Table_1[[#This Row],[Account]],BV_Data_An_Cour!$L:$Q,6,0)</f>
        <v>#N/A</v>
      </c>
      <c r="H573" s="2"/>
    </row>
    <row r="574" spans="1:29" ht="15" customHeight="1">
      <c r="A574" s="479" t="s">
        <v>2203</v>
      </c>
      <c r="B574" s="480" t="s">
        <v>2202</v>
      </c>
      <c r="C574" s="159" t="s">
        <v>140</v>
      </c>
      <c r="D574" s="159" t="s">
        <v>95</v>
      </c>
      <c r="E574" s="187" t="s">
        <v>285</v>
      </c>
      <c r="F574" s="2" t="s">
        <v>2154</v>
      </c>
      <c r="G574" s="187" t="e">
        <f>+VLOOKUP(Table_1[[#This Row],[Account]],BV_Data_An_Cour!$L:$Q,6,0)</f>
        <v>#N/A</v>
      </c>
      <c r="H574" s="2"/>
    </row>
    <row r="575" spans="1:29" ht="15" customHeight="1">
      <c r="A575" s="479" t="s">
        <v>2211</v>
      </c>
      <c r="B575" s="480" t="s">
        <v>2210</v>
      </c>
      <c r="C575" s="159" t="s">
        <v>140</v>
      </c>
      <c r="D575" s="159" t="s">
        <v>95</v>
      </c>
      <c r="E575" s="187" t="s">
        <v>283</v>
      </c>
      <c r="F575" s="160"/>
      <c r="G575" s="187" t="e">
        <f>+VLOOKUP(Table_1[[#This Row],[Account]],BV_Data_An_Cour!$L:$Q,6,0)</f>
        <v>#N/A</v>
      </c>
      <c r="H575" s="2"/>
    </row>
    <row r="576" spans="1:29" ht="15" customHeight="1">
      <c r="A576" s="476" t="s">
        <v>368</v>
      </c>
      <c r="B576" s="483" t="s">
        <v>1105</v>
      </c>
      <c r="C576" s="159" t="s">
        <v>140</v>
      </c>
      <c r="D576" s="159" t="s">
        <v>95</v>
      </c>
      <c r="E576" s="187" t="s">
        <v>285</v>
      </c>
      <c r="F576" s="2" t="s">
        <v>1908</v>
      </c>
      <c r="G576" s="187" t="str">
        <f>+VLOOKUP(Table_1[[#This Row],[Account]],BV_Data_An_Cour!$L:$Q,6,0)</f>
        <v>5-Ventes</v>
      </c>
      <c r="H576" s="2"/>
    </row>
    <row r="577" spans="1:8" ht="15" customHeight="1">
      <c r="A577" s="170" t="s">
        <v>734</v>
      </c>
      <c r="B577" s="171" t="s">
        <v>1556</v>
      </c>
      <c r="C577" s="159" t="s">
        <v>140</v>
      </c>
      <c r="D577" s="159" t="s">
        <v>95</v>
      </c>
      <c r="E577" s="187" t="s">
        <v>1909</v>
      </c>
      <c r="F577" s="2"/>
      <c r="G577" s="187" t="str">
        <f>+VLOOKUP(Table_1[[#This Row],[Account]],BV_Data_An_Cour!$L:$Q,6,0)</f>
        <v>10-Compte compteur</v>
      </c>
      <c r="H577" s="2"/>
    </row>
    <row r="578" spans="1:8" ht="15" customHeight="1">
      <c r="A578" s="162" t="s">
        <v>631</v>
      </c>
      <c r="B578" s="163" t="s">
        <v>1410</v>
      </c>
      <c r="C578" s="159" t="s">
        <v>75</v>
      </c>
      <c r="D578" s="159" t="s">
        <v>86</v>
      </c>
      <c r="E578" s="187" t="s">
        <v>285</v>
      </c>
      <c r="F578" s="2" t="s">
        <v>1908</v>
      </c>
      <c r="G578" s="187" t="e">
        <f>+VLOOKUP(Table_1[[#This Row],[Account]],BV_Data_An_Cour!$L:$Q,6,0)</f>
        <v>#N/A</v>
      </c>
      <c r="H578" s="2"/>
    </row>
    <row r="579" spans="1:8" ht="15" customHeight="1">
      <c r="A579" s="168" t="s">
        <v>735</v>
      </c>
      <c r="B579" s="169" t="s">
        <v>1557</v>
      </c>
      <c r="C579" s="159" t="s">
        <v>75</v>
      </c>
      <c r="D579" s="159" t="s">
        <v>86</v>
      </c>
      <c r="E579" s="187" t="s">
        <v>1909</v>
      </c>
      <c r="F579" s="2"/>
      <c r="G579" s="187" t="e">
        <f>+VLOOKUP(Table_1[[#This Row],[Account]],BV_Data_An_Cour!$L:$Q,6,0)</f>
        <v>#N/A</v>
      </c>
      <c r="H579" s="2"/>
    </row>
    <row r="580" spans="1:8" ht="15" customHeight="1">
      <c r="A580" s="169" t="s">
        <v>633</v>
      </c>
      <c r="B580" s="169" t="s">
        <v>632</v>
      </c>
      <c r="C580" s="159" t="s">
        <v>75</v>
      </c>
      <c r="D580" s="159" t="s">
        <v>86</v>
      </c>
      <c r="E580" s="187" t="s">
        <v>285</v>
      </c>
      <c r="F580" s="2" t="s">
        <v>1908</v>
      </c>
      <c r="G580" s="187" t="e">
        <f>+VLOOKUP(Table_1[[#This Row],[Account]],BV_Data_An_Cour!$L:$Q,6,0)</f>
        <v>#N/A</v>
      </c>
      <c r="H580" s="2"/>
    </row>
    <row r="581" spans="1:8" ht="15" customHeight="1">
      <c r="A581" s="476" t="s">
        <v>737</v>
      </c>
      <c r="B581" s="483" t="s">
        <v>736</v>
      </c>
      <c r="C581" s="159" t="s">
        <v>75</v>
      </c>
      <c r="D581" s="159" t="s">
        <v>86</v>
      </c>
      <c r="E581" s="187" t="s">
        <v>1909</v>
      </c>
      <c r="F581" s="2"/>
      <c r="G581" s="187" t="e">
        <f>+VLOOKUP(Table_1[[#This Row],[Account]],BV_Data_An_Cour!$L:$Q,6,0)</f>
        <v>#N/A</v>
      </c>
      <c r="H581" s="2"/>
    </row>
    <row r="582" spans="1:8" ht="15" customHeight="1">
      <c r="A582" s="162" t="s">
        <v>1985</v>
      </c>
      <c r="B582" s="163" t="s">
        <v>1984</v>
      </c>
      <c r="C582" s="159" t="s">
        <v>140</v>
      </c>
      <c r="D582" s="159" t="s">
        <v>95</v>
      </c>
      <c r="E582" s="187" t="s">
        <v>285</v>
      </c>
      <c r="F582" s="2" t="s">
        <v>1908</v>
      </c>
      <c r="G582" s="187" t="str">
        <f>+VLOOKUP(Table_1[[#This Row],[Account]],BV_Data_An_Cour!$L:$Q,6,0)</f>
        <v>5-Ventes</v>
      </c>
      <c r="H582" s="2"/>
    </row>
    <row r="583" spans="1:8" ht="15" customHeight="1">
      <c r="A583" s="162" t="s">
        <v>1993</v>
      </c>
      <c r="B583" s="163" t="s">
        <v>1992</v>
      </c>
      <c r="C583" s="159" t="s">
        <v>140</v>
      </c>
      <c r="D583" s="159" t="s">
        <v>95</v>
      </c>
      <c r="E583" s="187" t="s">
        <v>1909</v>
      </c>
      <c r="F583" s="2"/>
      <c r="G583" s="187" t="e">
        <f>+VLOOKUP(Table_1[[#This Row],[Account]],BV_Data_An_Cour!$L:$Q,6,0)</f>
        <v>#N/A</v>
      </c>
      <c r="H583" s="2"/>
    </row>
    <row r="584" spans="1:8" ht="15" customHeight="1">
      <c r="A584" s="162" t="s">
        <v>369</v>
      </c>
      <c r="B584" s="163" t="s">
        <v>1224</v>
      </c>
      <c r="C584" s="159" t="s">
        <v>140</v>
      </c>
      <c r="D584" s="159" t="s">
        <v>94</v>
      </c>
      <c r="E584" s="187" t="s">
        <v>285</v>
      </c>
      <c r="F584" s="2" t="s">
        <v>1908</v>
      </c>
      <c r="G584" s="187" t="e">
        <f>+VLOOKUP(Table_1[[#This Row],[Account]],BV_Data_An_Cour!$L:$Q,6,0)</f>
        <v>#N/A</v>
      </c>
      <c r="H584" s="2"/>
    </row>
    <row r="585" spans="1:8" ht="15" customHeight="1">
      <c r="A585" s="168" t="s">
        <v>1559</v>
      </c>
      <c r="B585" s="169" t="s">
        <v>1558</v>
      </c>
      <c r="C585" s="159" t="s">
        <v>140</v>
      </c>
      <c r="D585" s="159" t="s">
        <v>94</v>
      </c>
      <c r="E585" s="187" t="s">
        <v>1909</v>
      </c>
      <c r="F585" s="2"/>
      <c r="G585" s="187" t="e">
        <f>+VLOOKUP(Table_1[[#This Row],[Account]],BV_Data_An_Cour!$L:$Q,6,0)</f>
        <v>#N/A</v>
      </c>
      <c r="H585" s="2"/>
    </row>
    <row r="586" spans="1:8" ht="15" customHeight="1">
      <c r="A586" s="162" t="s">
        <v>2360</v>
      </c>
      <c r="B586" s="158" t="s">
        <v>2365</v>
      </c>
      <c r="C586" s="159" t="s">
        <v>140</v>
      </c>
      <c r="D586" s="159" t="s">
        <v>95</v>
      </c>
      <c r="E586" s="187" t="s">
        <v>285</v>
      </c>
      <c r="F586" s="2" t="s">
        <v>2195</v>
      </c>
      <c r="G586" s="493"/>
      <c r="H586" s="2"/>
    </row>
    <row r="587" spans="1:8" ht="15" customHeight="1">
      <c r="A587" s="162" t="s">
        <v>2377</v>
      </c>
      <c r="B587" s="158" t="s">
        <v>2376</v>
      </c>
      <c r="C587" s="159" t="s">
        <v>140</v>
      </c>
      <c r="D587" s="159" t="s">
        <v>95</v>
      </c>
      <c r="E587" s="187" t="s">
        <v>283</v>
      </c>
      <c r="F587" s="160"/>
      <c r="G587" s="493"/>
      <c r="H587" s="2"/>
    </row>
    <row r="588" spans="1:8" ht="15" customHeight="1">
      <c r="A588" s="162" t="s">
        <v>2146</v>
      </c>
      <c r="B588" s="158" t="s">
        <v>2145</v>
      </c>
      <c r="C588" s="159" t="s">
        <v>140</v>
      </c>
      <c r="D588" s="159" t="s">
        <v>95</v>
      </c>
      <c r="E588" s="187" t="s">
        <v>285</v>
      </c>
      <c r="F588" s="2" t="s">
        <v>2154</v>
      </c>
      <c r="G588" s="187" t="str">
        <f>+VLOOKUP(Table_1[[#This Row],[Account]],BV_Data_An_Cour!$L:$Q,6,0)</f>
        <v>5-Ventes</v>
      </c>
      <c r="H588" s="2"/>
    </row>
    <row r="589" spans="1:8" ht="15" customHeight="1">
      <c r="A589" s="162" t="s">
        <v>2182</v>
      </c>
      <c r="B589" s="158" t="s">
        <v>2181</v>
      </c>
      <c r="C589" s="159" t="s">
        <v>140</v>
      </c>
      <c r="D589" s="159" t="s">
        <v>95</v>
      </c>
      <c r="E589" s="187" t="s">
        <v>283</v>
      </c>
      <c r="F589" s="160"/>
      <c r="G589" s="187" t="str">
        <f>+VLOOKUP(Table_1[[#This Row],[Account]],BV_Data_An_Cour!$L:$Q,6,0)</f>
        <v>10-Compte compteur</v>
      </c>
      <c r="H589" s="2"/>
    </row>
    <row r="590" spans="1:8" ht="15" customHeight="1">
      <c r="A590" s="162" t="s">
        <v>2129</v>
      </c>
      <c r="B590" s="158" t="s">
        <v>2128</v>
      </c>
      <c r="C590" s="159" t="s">
        <v>140</v>
      </c>
      <c r="D590" s="159" t="s">
        <v>96</v>
      </c>
      <c r="E590" s="187" t="s">
        <v>285</v>
      </c>
      <c r="F590" s="2" t="s">
        <v>1908</v>
      </c>
      <c r="G590" s="493"/>
      <c r="H590" s="2"/>
    </row>
    <row r="591" spans="1:8" ht="15" customHeight="1">
      <c r="A591" s="162" t="s">
        <v>2138</v>
      </c>
      <c r="B591" s="158" t="s">
        <v>2137</v>
      </c>
      <c r="C591" s="159" t="s">
        <v>140</v>
      </c>
      <c r="D591" s="159" t="s">
        <v>96</v>
      </c>
      <c r="E591" s="187" t="s">
        <v>283</v>
      </c>
      <c r="F591" s="160"/>
      <c r="G591" s="493"/>
      <c r="H591" s="2"/>
    </row>
    <row r="592" spans="1:8" ht="15" customHeight="1">
      <c r="A592" s="749" t="s">
        <v>2067</v>
      </c>
      <c r="B592" s="750" t="s">
        <v>2066</v>
      </c>
      <c r="C592" s="159" t="s">
        <v>140</v>
      </c>
      <c r="D592" s="159" t="s">
        <v>95</v>
      </c>
      <c r="E592" s="187" t="s">
        <v>285</v>
      </c>
      <c r="F592" s="2" t="s">
        <v>1908</v>
      </c>
      <c r="G592" s="187" t="s">
        <v>2006</v>
      </c>
      <c r="H592" s="2"/>
    </row>
    <row r="593" spans="1:29" ht="15" customHeight="1">
      <c r="A593" s="749" t="s">
        <v>2075</v>
      </c>
      <c r="B593" s="750" t="s">
        <v>2074</v>
      </c>
      <c r="C593" s="159" t="s">
        <v>140</v>
      </c>
      <c r="D593" s="159" t="s">
        <v>95</v>
      </c>
      <c r="E593" s="187" t="s">
        <v>283</v>
      </c>
      <c r="F593" s="2"/>
      <c r="G593" s="187" t="str">
        <f>+VLOOKUP(Table_1[[#This Row],[Account]],BV_Data_An_Cour!$L:$Q,6,0)</f>
        <v>10-Compte compteur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5" t="s">
        <v>1952</v>
      </c>
      <c r="B594" s="164" t="s">
        <v>1951</v>
      </c>
      <c r="C594" s="159" t="s">
        <v>140</v>
      </c>
      <c r="D594" s="468" t="s">
        <v>94</v>
      </c>
      <c r="E594" s="187" t="s">
        <v>285</v>
      </c>
      <c r="F594" s="2" t="s">
        <v>1908</v>
      </c>
      <c r="G594" s="187" t="str">
        <f>+VLOOKUP(Table_1[[#This Row],[Account]],BV_Data_An_Cour!$L:$Q,6,0)</f>
        <v>5-Ventes</v>
      </c>
      <c r="H594" s="2"/>
    </row>
    <row r="595" spans="1:29" ht="15" customHeight="1">
      <c r="A595" s="162" t="s">
        <v>1958</v>
      </c>
      <c r="B595" s="163" t="s">
        <v>1957</v>
      </c>
      <c r="C595" s="159" t="s">
        <v>140</v>
      </c>
      <c r="D595" s="468" t="s">
        <v>94</v>
      </c>
      <c r="E595" s="187" t="s">
        <v>1909</v>
      </c>
      <c r="F595" s="2"/>
      <c r="G595" s="187" t="str">
        <f>+VLOOKUP(Table_1[[#This Row],[Account]],BV_Data_An_Cour!$L:$Q,6,0)</f>
        <v>10-Compte compteur</v>
      </c>
      <c r="H595" s="2"/>
    </row>
    <row r="596" spans="1:29" ht="15" customHeight="1">
      <c r="A596" s="474" t="s">
        <v>1954</v>
      </c>
      <c r="B596" s="482" t="s">
        <v>1953</v>
      </c>
      <c r="C596" s="159" t="s">
        <v>140</v>
      </c>
      <c r="D596" s="468" t="s">
        <v>95</v>
      </c>
      <c r="E596" s="187" t="s">
        <v>285</v>
      </c>
      <c r="F596" s="2" t="s">
        <v>1908</v>
      </c>
      <c r="G596" s="187" t="str">
        <f>+VLOOKUP(Table_1[[#This Row],[Account]],BV_Data_An_Cour!$L:$Q,6,0)</f>
        <v>5-Ventes</v>
      </c>
      <c r="H596" s="2"/>
    </row>
    <row r="597" spans="1:29" ht="15" customHeight="1">
      <c r="A597" s="165" t="s">
        <v>1960</v>
      </c>
      <c r="B597" s="164" t="s">
        <v>1959</v>
      </c>
      <c r="C597" s="159" t="s">
        <v>140</v>
      </c>
      <c r="D597" s="468" t="s">
        <v>95</v>
      </c>
      <c r="E597" s="187" t="s">
        <v>1909</v>
      </c>
      <c r="F597" s="2"/>
      <c r="G597" s="187" t="str">
        <f>+VLOOKUP(Table_1[[#This Row],[Account]],BV_Data_An_Cour!$L:$Q,6,0)</f>
        <v>10-Compte compteur</v>
      </c>
      <c r="H597" s="2"/>
    </row>
    <row r="598" spans="1:29" ht="15" customHeight="1">
      <c r="A598" s="479" t="s">
        <v>2895</v>
      </c>
      <c r="B598" s="480" t="s">
        <v>2894</v>
      </c>
      <c r="C598" s="159" t="s">
        <v>140</v>
      </c>
      <c r="D598" s="159" t="s">
        <v>95</v>
      </c>
      <c r="E598" s="493" t="s">
        <v>285</v>
      </c>
      <c r="F598" s="160" t="s">
        <v>1908</v>
      </c>
      <c r="G598" s="493" t="s">
        <v>2006</v>
      </c>
      <c r="H598" s="2"/>
    </row>
    <row r="599" spans="1:29" ht="15" customHeight="1">
      <c r="A599" s="479" t="s">
        <v>2401</v>
      </c>
      <c r="B599" s="480" t="s">
        <v>2400</v>
      </c>
      <c r="C599" s="159" t="s">
        <v>140</v>
      </c>
      <c r="D599" s="159" t="s">
        <v>95</v>
      </c>
      <c r="E599" s="187" t="s">
        <v>285</v>
      </c>
      <c r="F599" s="2" t="s">
        <v>1908</v>
      </c>
      <c r="G599" s="493"/>
      <c r="H599" s="2"/>
    </row>
    <row r="600" spans="1:29" ht="15" customHeight="1">
      <c r="A600" s="162" t="s">
        <v>2435</v>
      </c>
      <c r="B600" s="158" t="s">
        <v>2434</v>
      </c>
      <c r="C600" s="159" t="s">
        <v>140</v>
      </c>
      <c r="D600" s="159" t="s">
        <v>95</v>
      </c>
      <c r="E600" s="187" t="s">
        <v>283</v>
      </c>
      <c r="F600" s="160"/>
      <c r="G600" s="493"/>
      <c r="H600" s="2"/>
    </row>
    <row r="601" spans="1:29" ht="15" customHeight="1">
      <c r="A601" s="162" t="s">
        <v>2845</v>
      </c>
      <c r="B601" s="175" t="s">
        <v>2844</v>
      </c>
      <c r="C601" s="159" t="s">
        <v>140</v>
      </c>
      <c r="D601" s="159" t="s">
        <v>96</v>
      </c>
      <c r="E601" s="187" t="s">
        <v>285</v>
      </c>
      <c r="F601" s="2" t="s">
        <v>1908</v>
      </c>
      <c r="G601" s="493"/>
      <c r="H601" s="2"/>
    </row>
    <row r="602" spans="1:29" ht="15" customHeight="1">
      <c r="A602" s="162" t="s">
        <v>2856</v>
      </c>
      <c r="B602" s="175" t="s">
        <v>2855</v>
      </c>
      <c r="C602" s="159" t="s">
        <v>140</v>
      </c>
      <c r="D602" s="159" t="s">
        <v>96</v>
      </c>
      <c r="E602" s="187" t="s">
        <v>1909</v>
      </c>
      <c r="F602" s="160"/>
      <c r="G602" s="493"/>
      <c r="H602" s="2"/>
    </row>
    <row r="603" spans="1:29" ht="15" customHeight="1">
      <c r="A603" s="162" t="s">
        <v>2968</v>
      </c>
      <c r="B603" s="158" t="s">
        <v>2967</v>
      </c>
      <c r="C603" s="159" t="s">
        <v>140</v>
      </c>
      <c r="D603" s="159" t="s">
        <v>95</v>
      </c>
      <c r="E603" s="187" t="s">
        <v>285</v>
      </c>
      <c r="F603" s="2" t="s">
        <v>2154</v>
      </c>
      <c r="G603" s="493"/>
      <c r="H603" s="2"/>
    </row>
    <row r="604" spans="1:29" ht="15" customHeight="1">
      <c r="A604" s="162" t="s">
        <v>2405</v>
      </c>
      <c r="B604" s="158" t="s">
        <v>2404</v>
      </c>
      <c r="C604" s="159" t="s">
        <v>140</v>
      </c>
      <c r="D604" s="159" t="s">
        <v>95</v>
      </c>
      <c r="E604" s="187" t="s">
        <v>283</v>
      </c>
      <c r="F604" s="160"/>
      <c r="G604" s="493"/>
      <c r="H604" s="2"/>
    </row>
    <row r="605" spans="1:29" ht="15" customHeight="1">
      <c r="A605" s="475" t="s">
        <v>366</v>
      </c>
      <c r="B605" s="480" t="s">
        <v>1411</v>
      </c>
      <c r="C605" s="159" t="s">
        <v>140</v>
      </c>
      <c r="D605" s="159" t="s">
        <v>95</v>
      </c>
      <c r="E605" s="187" t="s">
        <v>285</v>
      </c>
      <c r="F605" s="2" t="s">
        <v>1908</v>
      </c>
      <c r="G605" s="187" t="e">
        <f>+VLOOKUP(Table_1[[#This Row],[Account]],BV_Data_An_Cour!$L:$Q,6,0)</f>
        <v>#N/A</v>
      </c>
      <c r="H605" s="2"/>
    </row>
    <row r="606" spans="1:29" ht="15" customHeight="1">
      <c r="A606" s="476" t="s">
        <v>738</v>
      </c>
      <c r="B606" s="483" t="s">
        <v>1560</v>
      </c>
      <c r="C606" s="159" t="s">
        <v>140</v>
      </c>
      <c r="D606" s="159" t="s">
        <v>95</v>
      </c>
      <c r="E606" s="187" t="s">
        <v>1909</v>
      </c>
      <c r="F606" s="2"/>
      <c r="G606" s="187" t="e">
        <f>+VLOOKUP(Table_1[[#This Row],[Account]],BV_Data_An_Cour!$L:$Q,6,0)</f>
        <v>#N/A</v>
      </c>
      <c r="H606" s="2"/>
    </row>
    <row r="607" spans="1:29" ht="15" customHeight="1">
      <c r="A607" s="477" t="s">
        <v>450</v>
      </c>
      <c r="B607" s="481" t="s">
        <v>1178</v>
      </c>
      <c r="C607" s="159" t="s">
        <v>1911</v>
      </c>
      <c r="D607" s="159" t="s">
        <v>155</v>
      </c>
      <c r="E607" s="187" t="s">
        <v>285</v>
      </c>
      <c r="F607" s="2" t="s">
        <v>1908</v>
      </c>
      <c r="G607" s="187" t="str">
        <f>+VLOOKUP(Table_1[[#This Row],[Account]],BV_Data_An_Cour!$L:$Q,6,0)</f>
        <v>5-Ventes</v>
      </c>
      <c r="H607" s="2"/>
    </row>
    <row r="608" spans="1:29" ht="15" customHeight="1">
      <c r="A608" s="477" t="s">
        <v>739</v>
      </c>
      <c r="B608" s="481" t="s">
        <v>1561</v>
      </c>
      <c r="C608" s="159" t="s">
        <v>1911</v>
      </c>
      <c r="D608" s="159" t="s">
        <v>155</v>
      </c>
      <c r="E608" s="187" t="s">
        <v>1909</v>
      </c>
      <c r="F608" s="2"/>
      <c r="G608" s="187" t="str">
        <f>+VLOOKUP(Table_1[[#This Row],[Account]],BV_Data_An_Cour!$L:$Q,6,0)</f>
        <v>10-Compte compteur</v>
      </c>
      <c r="H608" s="2"/>
    </row>
    <row r="609" spans="1:8" ht="15" customHeight="1">
      <c r="A609" s="479" t="s">
        <v>2190</v>
      </c>
      <c r="B609" s="480" t="s">
        <v>2189</v>
      </c>
      <c r="C609" s="159" t="s">
        <v>147</v>
      </c>
      <c r="D609" s="159" t="s">
        <v>155</v>
      </c>
      <c r="E609" s="187" t="s">
        <v>285</v>
      </c>
      <c r="F609" s="2" t="s">
        <v>2195</v>
      </c>
      <c r="G609" s="187" t="str">
        <f>+VLOOKUP(Table_1[[#This Row],[Account]],BV_Data_An_Cour!$L:$Q,6,0)</f>
        <v>5-Ventes</v>
      </c>
      <c r="H609" s="2"/>
    </row>
    <row r="610" spans="1:8" ht="15" customHeight="1">
      <c r="A610" s="162" t="s">
        <v>2194</v>
      </c>
      <c r="B610" s="158" t="s">
        <v>2193</v>
      </c>
      <c r="C610" s="159" t="s">
        <v>147</v>
      </c>
      <c r="D610" s="159" t="s">
        <v>155</v>
      </c>
      <c r="E610" s="187" t="s">
        <v>1909</v>
      </c>
      <c r="F610" s="160"/>
      <c r="G610" s="187" t="str">
        <f>+VLOOKUP(Table_1[[#This Row],[Account]],BV_Data_An_Cour!$L:$Q,6,0)</f>
        <v>10-Compte compteur</v>
      </c>
      <c r="H610" s="2"/>
    </row>
    <row r="611" spans="1:8" ht="15" customHeight="1">
      <c r="A611" s="479" t="s">
        <v>1116</v>
      </c>
      <c r="B611" s="480" t="s">
        <v>1115</v>
      </c>
      <c r="C611" s="159" t="s">
        <v>1911</v>
      </c>
      <c r="D611" s="159" t="s">
        <v>151</v>
      </c>
      <c r="E611" s="187" t="s">
        <v>285</v>
      </c>
      <c r="F611" s="2" t="s">
        <v>1908</v>
      </c>
      <c r="G611" s="187" t="str">
        <f>+VLOOKUP(Table_1[[#This Row],[Account]],BV_Data_An_Cour!$L:$Q,6,0)</f>
        <v>5-Ventes</v>
      </c>
      <c r="H611" s="2"/>
    </row>
    <row r="612" spans="1:8" ht="15" customHeight="1">
      <c r="A612" s="168" t="s">
        <v>1563</v>
      </c>
      <c r="B612" s="169" t="s">
        <v>1562</v>
      </c>
      <c r="C612" s="159" t="s">
        <v>1911</v>
      </c>
      <c r="D612" s="159" t="s">
        <v>151</v>
      </c>
      <c r="E612" s="187" t="s">
        <v>1909</v>
      </c>
      <c r="F612" s="2"/>
      <c r="G612" s="187" t="str">
        <f>+VLOOKUP(Table_1[[#This Row],[Account]],BV_Data_An_Cour!$L:$Q,6,0)</f>
        <v>10-Compte compteur</v>
      </c>
      <c r="H612" s="2"/>
    </row>
    <row r="613" spans="1:8" ht="15" customHeight="1">
      <c r="A613" s="477" t="s">
        <v>415</v>
      </c>
      <c r="B613" s="481" t="s">
        <v>1129</v>
      </c>
      <c r="C613" s="159" t="s">
        <v>1911</v>
      </c>
      <c r="D613" s="159" t="s">
        <v>151</v>
      </c>
      <c r="E613" s="187" t="s">
        <v>285</v>
      </c>
      <c r="F613" s="2" t="s">
        <v>1908</v>
      </c>
      <c r="G613" s="187" t="str">
        <f>+VLOOKUP(Table_1[[#This Row],[Account]],BV_Data_An_Cour!$L:$Q,6,0)</f>
        <v>5-Ventes</v>
      </c>
      <c r="H613" s="2"/>
    </row>
    <row r="614" spans="1:8" ht="15" customHeight="1">
      <c r="A614" s="168" t="s">
        <v>740</v>
      </c>
      <c r="B614" s="169" t="s">
        <v>1564</v>
      </c>
      <c r="C614" s="159" t="s">
        <v>1911</v>
      </c>
      <c r="D614" s="159" t="s">
        <v>151</v>
      </c>
      <c r="E614" s="187" t="s">
        <v>1909</v>
      </c>
      <c r="F614" s="2"/>
      <c r="G614" s="187" t="str">
        <f>+VLOOKUP(Table_1[[#This Row],[Account]],BV_Data_An_Cour!$L:$Q,6,0)</f>
        <v>10-Compte compteur</v>
      </c>
      <c r="H614" s="2"/>
    </row>
    <row r="615" spans="1:8" ht="15" customHeight="1">
      <c r="A615" s="476" t="s">
        <v>458</v>
      </c>
      <c r="B615" s="483" t="s">
        <v>1013</v>
      </c>
      <c r="C615" s="159" t="s">
        <v>1911</v>
      </c>
      <c r="D615" s="159" t="s">
        <v>151</v>
      </c>
      <c r="E615" s="187" t="s">
        <v>285</v>
      </c>
      <c r="F615" s="2" t="s">
        <v>1908</v>
      </c>
      <c r="G615" s="187" t="str">
        <f>+VLOOKUP(Table_1[[#This Row],[Account]],BV_Data_An_Cour!$L:$Q,6,0)</f>
        <v>5-Ventes</v>
      </c>
      <c r="H615" s="2"/>
    </row>
    <row r="616" spans="1:8" ht="15" customHeight="1">
      <c r="A616" s="168" t="s">
        <v>741</v>
      </c>
      <c r="B616" s="169" t="s">
        <v>1047</v>
      </c>
      <c r="C616" s="159" t="s">
        <v>1911</v>
      </c>
      <c r="D616" s="159" t="s">
        <v>151</v>
      </c>
      <c r="E616" s="187" t="s">
        <v>1909</v>
      </c>
      <c r="F616" s="2"/>
      <c r="G616" s="187" t="str">
        <f>+VLOOKUP(Table_1[[#This Row],[Account]],BV_Data_An_Cour!$L:$Q,6,0)</f>
        <v>10-Compte compteur</v>
      </c>
      <c r="H616" s="2"/>
    </row>
    <row r="617" spans="1:8" ht="15" customHeight="1">
      <c r="A617" s="158" t="s">
        <v>1110</v>
      </c>
      <c r="B617" s="158" t="s">
        <v>1127</v>
      </c>
      <c r="C617" s="159" t="s">
        <v>1911</v>
      </c>
      <c r="D617" s="159" t="s">
        <v>153</v>
      </c>
      <c r="E617" s="187" t="s">
        <v>285</v>
      </c>
      <c r="F617" s="2" t="s">
        <v>1908</v>
      </c>
      <c r="G617" s="187" t="str">
        <f>+VLOOKUP(Table_1[[#This Row],[Account]],BV_Data_An_Cour!$L:$Q,6,0)</f>
        <v>5-Ventes</v>
      </c>
      <c r="H617" s="2"/>
    </row>
    <row r="618" spans="1:8" ht="15" customHeight="1">
      <c r="A618" s="170" t="s">
        <v>1566</v>
      </c>
      <c r="B618" s="171" t="s">
        <v>1565</v>
      </c>
      <c r="C618" s="159" t="s">
        <v>1911</v>
      </c>
      <c r="D618" s="159" t="s">
        <v>153</v>
      </c>
      <c r="E618" s="187" t="s">
        <v>1909</v>
      </c>
      <c r="F618" s="2"/>
      <c r="G618" s="187" t="str">
        <f>+VLOOKUP(Table_1[[#This Row],[Account]],BV_Data_An_Cour!$L:$Q,6,0)</f>
        <v>10-Compte compteur</v>
      </c>
      <c r="H618" s="2"/>
    </row>
    <row r="619" spans="1:8" ht="15" customHeight="1">
      <c r="A619" s="476" t="s">
        <v>436</v>
      </c>
      <c r="B619" s="483" t="s">
        <v>1109</v>
      </c>
      <c r="C619" s="159" t="s">
        <v>1911</v>
      </c>
      <c r="D619" s="159" t="s">
        <v>153</v>
      </c>
      <c r="E619" s="187" t="s">
        <v>285</v>
      </c>
      <c r="F619" s="2" t="s">
        <v>1908</v>
      </c>
      <c r="G619" s="187" t="str">
        <f>+VLOOKUP(Table_1[[#This Row],[Account]],BV_Data_An_Cour!$L:$Q,6,0)</f>
        <v>5-Ventes</v>
      </c>
      <c r="H619" s="2"/>
    </row>
    <row r="620" spans="1:8" ht="15" customHeight="1">
      <c r="A620" s="168" t="s">
        <v>742</v>
      </c>
      <c r="B620" s="169" t="s">
        <v>1567</v>
      </c>
      <c r="C620" s="159" t="s">
        <v>1911</v>
      </c>
      <c r="D620" s="159" t="s">
        <v>153</v>
      </c>
      <c r="E620" s="187" t="s">
        <v>1909</v>
      </c>
      <c r="F620" s="2"/>
      <c r="G620" s="187" t="str">
        <f>+VLOOKUP(Table_1[[#This Row],[Account]],BV_Data_An_Cour!$L:$Q,6,0)</f>
        <v>10-Compte compteur</v>
      </c>
      <c r="H620" s="2"/>
    </row>
    <row r="621" spans="1:8" ht="15" customHeight="1">
      <c r="A621" s="168" t="s">
        <v>441</v>
      </c>
      <c r="B621" s="169" t="s">
        <v>1160</v>
      </c>
      <c r="C621" s="159" t="s">
        <v>1911</v>
      </c>
      <c r="D621" s="159" t="s">
        <v>153</v>
      </c>
      <c r="E621" s="187" t="s">
        <v>285</v>
      </c>
      <c r="F621" s="2" t="s">
        <v>1908</v>
      </c>
      <c r="G621" s="187" t="str">
        <f>+VLOOKUP(Table_1[[#This Row],[Account]],BV_Data_An_Cour!$L:$Q,6,0)</f>
        <v>5-Ventes</v>
      </c>
      <c r="H621" s="2"/>
    </row>
    <row r="622" spans="1:8" ht="15" customHeight="1">
      <c r="A622" s="168" t="s">
        <v>743</v>
      </c>
      <c r="B622" s="169" t="s">
        <v>1568</v>
      </c>
      <c r="C622" s="159" t="s">
        <v>1911</v>
      </c>
      <c r="D622" s="159" t="s">
        <v>153</v>
      </c>
      <c r="E622" s="187" t="s">
        <v>1909</v>
      </c>
      <c r="F622" s="2"/>
      <c r="G622" s="187" t="str">
        <f>+VLOOKUP(Table_1[[#This Row],[Account]],BV_Data_An_Cour!$L:$Q,6,0)</f>
        <v>10-Compte compteur</v>
      </c>
      <c r="H622" s="2"/>
    </row>
    <row r="623" spans="1:8" ht="15" customHeight="1">
      <c r="A623" s="477" t="s">
        <v>435</v>
      </c>
      <c r="B623" s="481" t="s">
        <v>1141</v>
      </c>
      <c r="C623" s="159" t="s">
        <v>1911</v>
      </c>
      <c r="D623" s="159" t="s">
        <v>153</v>
      </c>
      <c r="E623" s="187" t="s">
        <v>285</v>
      </c>
      <c r="F623" s="2" t="s">
        <v>1908</v>
      </c>
      <c r="G623" s="187" t="str">
        <f>+VLOOKUP(Table_1[[#This Row],[Account]],BV_Data_An_Cour!$L:$Q,6,0)</f>
        <v>5-Ventes</v>
      </c>
      <c r="H623" s="2"/>
    </row>
    <row r="624" spans="1:8" ht="15" customHeight="1">
      <c r="A624" s="168" t="s">
        <v>744</v>
      </c>
      <c r="B624" s="169" t="s">
        <v>1569</v>
      </c>
      <c r="C624" s="159" t="s">
        <v>1911</v>
      </c>
      <c r="D624" s="159" t="s">
        <v>153</v>
      </c>
      <c r="E624" s="187" t="s">
        <v>1909</v>
      </c>
      <c r="F624" s="2"/>
      <c r="G624" s="187" t="str">
        <f>+VLOOKUP(Table_1[[#This Row],[Account]],BV_Data_An_Cour!$L:$Q,6,0)</f>
        <v>10-Compte compteur</v>
      </c>
      <c r="H624" s="2"/>
    </row>
    <row r="625" spans="1:29" ht="15" customHeight="1">
      <c r="A625" s="479" t="s">
        <v>469</v>
      </c>
      <c r="B625" s="478" t="s">
        <v>1222</v>
      </c>
      <c r="C625" s="159" t="s">
        <v>1911</v>
      </c>
      <c r="D625" s="159" t="s">
        <v>153</v>
      </c>
      <c r="E625" s="187" t="s">
        <v>285</v>
      </c>
      <c r="F625" s="2" t="s">
        <v>1908</v>
      </c>
      <c r="G625" s="187" t="str">
        <f>+VLOOKUP(Table_1[[#This Row],[Account]],BV_Data_An_Cour!$L:$Q,6,0)</f>
        <v>5-Ventes</v>
      </c>
      <c r="H625" s="2"/>
    </row>
    <row r="626" spans="1:29" ht="15" customHeight="1">
      <c r="A626" s="477" t="s">
        <v>745</v>
      </c>
      <c r="B626" s="481" t="s">
        <v>1570</v>
      </c>
      <c r="C626" s="159" t="s">
        <v>1911</v>
      </c>
      <c r="D626" s="159" t="s">
        <v>153</v>
      </c>
      <c r="E626" s="187" t="s">
        <v>1909</v>
      </c>
      <c r="F626" s="2"/>
      <c r="G626" s="187" t="str">
        <f>+VLOOKUP(Table_1[[#This Row],[Account]],BV_Data_An_Cour!$L:$Q,6,0)</f>
        <v>10-Compte compteur</v>
      </c>
      <c r="H626" s="2"/>
    </row>
    <row r="627" spans="1:29" ht="15" customHeight="1">
      <c r="A627" s="168" t="s">
        <v>468</v>
      </c>
      <c r="B627" s="169" t="s">
        <v>1225</v>
      </c>
      <c r="C627" s="159" t="s">
        <v>1911</v>
      </c>
      <c r="D627" s="159" t="s">
        <v>153</v>
      </c>
      <c r="E627" s="187" t="s">
        <v>285</v>
      </c>
      <c r="F627" s="2" t="s">
        <v>1908</v>
      </c>
      <c r="G627" s="187" t="str">
        <f>+VLOOKUP(Table_1[[#This Row],[Account]],BV_Data_An_Cour!$L:$Q,6,0)</f>
        <v>5-Ventes</v>
      </c>
      <c r="H627" s="2"/>
    </row>
    <row r="628" spans="1:29" ht="15" customHeight="1">
      <c r="A628" s="170" t="s">
        <v>746</v>
      </c>
      <c r="B628" s="171" t="s">
        <v>1571</v>
      </c>
      <c r="C628" s="159" t="s">
        <v>1911</v>
      </c>
      <c r="D628" s="159" t="s">
        <v>153</v>
      </c>
      <c r="E628" s="187" t="s">
        <v>1909</v>
      </c>
      <c r="F628" s="2"/>
      <c r="G628" s="187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476" t="s">
        <v>1139</v>
      </c>
      <c r="B629" s="483" t="s">
        <v>1140</v>
      </c>
      <c r="C629" s="159" t="s">
        <v>1911</v>
      </c>
      <c r="D629" s="159" t="s">
        <v>154</v>
      </c>
      <c r="E629" s="187" t="s">
        <v>285</v>
      </c>
      <c r="F629" s="2" t="s">
        <v>1908</v>
      </c>
      <c r="G629" s="187" t="str">
        <f>+VLOOKUP(Table_1[[#This Row],[Account]],BV_Data_An_Cour!$L:$Q,6,0)</f>
        <v>5-Ventes</v>
      </c>
      <c r="H629" s="2"/>
    </row>
    <row r="630" spans="1:29" ht="15" customHeight="1">
      <c r="A630" s="477" t="s">
        <v>1573</v>
      </c>
      <c r="B630" s="481" t="s">
        <v>1572</v>
      </c>
      <c r="C630" s="159" t="s">
        <v>1911</v>
      </c>
      <c r="D630" s="159" t="s">
        <v>154</v>
      </c>
      <c r="E630" s="187" t="s">
        <v>1909</v>
      </c>
      <c r="F630" s="2"/>
      <c r="G630" s="187" t="str">
        <f>+VLOOKUP(Table_1[[#This Row],[Account]],BV_Data_An_Cour!$L:$Q,6,0)</f>
        <v>10-Compte compteur</v>
      </c>
      <c r="H630" s="2"/>
    </row>
    <row r="631" spans="1:29" ht="15" customHeight="1">
      <c r="A631" s="168" t="s">
        <v>431</v>
      </c>
      <c r="B631" s="169" t="s">
        <v>1138</v>
      </c>
      <c r="C631" s="159" t="s">
        <v>1911</v>
      </c>
      <c r="D631" s="159" t="s">
        <v>154</v>
      </c>
      <c r="E631" s="187" t="s">
        <v>285</v>
      </c>
      <c r="F631" s="2" t="s">
        <v>1908</v>
      </c>
      <c r="G631" s="187" t="str">
        <f>+VLOOKUP(Table_1[[#This Row],[Account]],BV_Data_An_Cour!$L:$Q,6,0)</f>
        <v>5-Ventes</v>
      </c>
      <c r="H631" s="2"/>
    </row>
    <row r="632" spans="1:29" ht="15" customHeight="1">
      <c r="A632" s="170" t="s">
        <v>747</v>
      </c>
      <c r="B632" s="171" t="s">
        <v>1574</v>
      </c>
      <c r="C632" s="159" t="s">
        <v>1911</v>
      </c>
      <c r="D632" s="159" t="s">
        <v>154</v>
      </c>
      <c r="E632" s="187" t="s">
        <v>1909</v>
      </c>
      <c r="F632" s="2"/>
      <c r="G632" s="187" t="str">
        <f>+VLOOKUP(Table_1[[#This Row],[Account]],BV_Data_An_Cour!$L:$Q,6,0)</f>
        <v>10-Compte compteur</v>
      </c>
      <c r="H632" s="2"/>
    </row>
    <row r="633" spans="1:29" ht="15" customHeight="1">
      <c r="A633" s="476" t="s">
        <v>471</v>
      </c>
      <c r="B633" s="483" t="s">
        <v>1018</v>
      </c>
      <c r="C633" s="159" t="s">
        <v>1911</v>
      </c>
      <c r="D633" s="159" t="s">
        <v>154</v>
      </c>
      <c r="E633" s="187" t="s">
        <v>285</v>
      </c>
      <c r="F633" s="2" t="s">
        <v>1908</v>
      </c>
      <c r="G633" s="187" t="str">
        <f>+VLOOKUP(Table_1[[#This Row],[Account]],BV_Data_An_Cour!$L:$Q,6,0)</f>
        <v>5-Ventes</v>
      </c>
      <c r="H633" s="2"/>
    </row>
    <row r="634" spans="1:29" ht="15" customHeight="1">
      <c r="A634" s="476" t="s">
        <v>748</v>
      </c>
      <c r="B634" s="483" t="s">
        <v>1048</v>
      </c>
      <c r="C634" s="159" t="s">
        <v>1911</v>
      </c>
      <c r="D634" s="159" t="s">
        <v>154</v>
      </c>
      <c r="E634" s="187" t="s">
        <v>1909</v>
      </c>
      <c r="F634" s="2"/>
      <c r="G634" s="187" t="str">
        <f>+VLOOKUP(Table_1[[#This Row],[Account]],BV_Data_An_Cour!$L:$Q,6,0)</f>
        <v>10-Compte compteur</v>
      </c>
      <c r="H634" s="2"/>
    </row>
    <row r="635" spans="1:29" ht="15" customHeight="1">
      <c r="A635" s="479" t="s">
        <v>2174</v>
      </c>
      <c r="B635" s="480" t="s">
        <v>2173</v>
      </c>
      <c r="C635" s="159" t="s">
        <v>147</v>
      </c>
      <c r="D635" s="159" t="s">
        <v>154</v>
      </c>
      <c r="E635" s="187" t="s">
        <v>285</v>
      </c>
      <c r="F635" s="2" t="s">
        <v>2154</v>
      </c>
      <c r="G635" s="187" t="e">
        <f>+VLOOKUP(Table_1[[#This Row],[Account]],BV_Data_An_Cour!$L:$Q,6,0)</f>
        <v>#N/A</v>
      </c>
      <c r="H635" s="2"/>
    </row>
    <row r="636" spans="1:29" ht="15" customHeight="1">
      <c r="A636" s="479" t="s">
        <v>2184</v>
      </c>
      <c r="B636" s="480" t="s">
        <v>2183</v>
      </c>
      <c r="C636" s="159" t="s">
        <v>147</v>
      </c>
      <c r="D636" s="159" t="s">
        <v>154</v>
      </c>
      <c r="E636" s="187" t="s">
        <v>283</v>
      </c>
      <c r="F636" s="160"/>
      <c r="G636" s="187" t="e">
        <f>+VLOOKUP(Table_1[[#This Row],[Account]],BV_Data_An_Cour!$L:$Q,6,0)</f>
        <v>#N/A</v>
      </c>
      <c r="H636" s="2"/>
    </row>
    <row r="637" spans="1:29" ht="15" customHeight="1">
      <c r="A637" s="162" t="s">
        <v>2176</v>
      </c>
      <c r="B637" s="158" t="s">
        <v>2175</v>
      </c>
      <c r="C637" s="159" t="s">
        <v>147</v>
      </c>
      <c r="D637" s="159" t="s">
        <v>154</v>
      </c>
      <c r="E637" s="187" t="s">
        <v>285</v>
      </c>
      <c r="F637" s="2" t="s">
        <v>2154</v>
      </c>
      <c r="G637" s="187" t="str">
        <f>+VLOOKUP(Table_1[[#This Row],[Account]],BV_Data_An_Cour!$L:$Q,6,0)</f>
        <v>5-Ventes</v>
      </c>
      <c r="H637" s="2"/>
    </row>
    <row r="638" spans="1:29" ht="15" customHeight="1">
      <c r="A638" s="162" t="s">
        <v>2186</v>
      </c>
      <c r="B638" s="158" t="s">
        <v>2185</v>
      </c>
      <c r="C638" s="159" t="s">
        <v>147</v>
      </c>
      <c r="D638" s="159" t="s">
        <v>154</v>
      </c>
      <c r="E638" s="187" t="s">
        <v>283</v>
      </c>
      <c r="F638" s="160"/>
      <c r="G638" s="187" t="str">
        <f>+VLOOKUP(Table_1[[#This Row],[Account]],BV_Data_An_Cour!$L:$Q,6,0)</f>
        <v>10-Compte compteur</v>
      </c>
      <c r="H638" s="2"/>
    </row>
    <row r="639" spans="1:29" ht="15" customHeight="1">
      <c r="A639" s="162" t="s">
        <v>2235</v>
      </c>
      <c r="B639" s="158" t="s">
        <v>2236</v>
      </c>
      <c r="C639" s="159" t="s">
        <v>147</v>
      </c>
      <c r="D639" s="159" t="s">
        <v>154</v>
      </c>
      <c r="E639" s="187" t="s">
        <v>285</v>
      </c>
      <c r="F639" s="2" t="s">
        <v>2154</v>
      </c>
      <c r="G639" s="493"/>
      <c r="H639" s="2"/>
    </row>
    <row r="640" spans="1:29" ht="15" customHeight="1">
      <c r="A640" s="1189" t="s">
        <v>2243</v>
      </c>
      <c r="B640" s="173" t="s">
        <v>2244</v>
      </c>
      <c r="C640" s="159" t="s">
        <v>147</v>
      </c>
      <c r="D640" s="159" t="s">
        <v>154</v>
      </c>
      <c r="E640" s="187" t="s">
        <v>1909</v>
      </c>
      <c r="F640" s="160"/>
      <c r="G640" s="493"/>
      <c r="H640" s="2"/>
    </row>
    <row r="641" spans="1:29" ht="15" customHeight="1">
      <c r="A641" s="476" t="s">
        <v>1143</v>
      </c>
      <c r="B641" s="483" t="s">
        <v>1154</v>
      </c>
      <c r="C641" s="159" t="s">
        <v>1911</v>
      </c>
      <c r="D641" s="159" t="s">
        <v>159</v>
      </c>
      <c r="E641" s="187" t="s">
        <v>285</v>
      </c>
      <c r="F641" s="2" t="s">
        <v>1908</v>
      </c>
      <c r="G641" s="187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8" t="s">
        <v>1576</v>
      </c>
      <c r="B642" s="169" t="s">
        <v>1575</v>
      </c>
      <c r="C642" s="159" t="s">
        <v>1911</v>
      </c>
      <c r="D642" s="159" t="s">
        <v>159</v>
      </c>
      <c r="E642" s="187" t="s">
        <v>1909</v>
      </c>
      <c r="F642" s="2"/>
      <c r="G642" s="187" t="e">
        <f>+VLOOKUP(Table_1[[#This Row],[Account]],BV_Data_An_Cour!$L:$Q,6,0)</f>
        <v>#N/A</v>
      </c>
      <c r="H642" s="2"/>
    </row>
    <row r="643" spans="1:29" ht="15" customHeight="1">
      <c r="A643" s="475" t="s">
        <v>454</v>
      </c>
      <c r="B643" s="480" t="s">
        <v>1142</v>
      </c>
      <c r="C643" s="159" t="s">
        <v>1911</v>
      </c>
      <c r="D643" s="159" t="s">
        <v>159</v>
      </c>
      <c r="E643" s="187" t="s">
        <v>285</v>
      </c>
      <c r="F643" s="2" t="s">
        <v>1908</v>
      </c>
      <c r="G643" s="187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0" t="s">
        <v>749</v>
      </c>
      <c r="B644" s="171" t="s">
        <v>1577</v>
      </c>
      <c r="C644" s="159" t="s">
        <v>1911</v>
      </c>
      <c r="D644" s="159" t="s">
        <v>159</v>
      </c>
      <c r="E644" s="187" t="s">
        <v>1909</v>
      </c>
      <c r="F644" s="2"/>
      <c r="G644" s="187" t="str">
        <f>+VLOOKUP(Table_1[[#This Row],[Account]],BV_Data_An_Cour!$L:$Q,6,0)</f>
        <v>10-Compte compteur</v>
      </c>
      <c r="H644" s="2"/>
    </row>
    <row r="645" spans="1:29" ht="15" customHeight="1">
      <c r="A645" s="479" t="s">
        <v>473</v>
      </c>
      <c r="B645" s="478" t="s">
        <v>472</v>
      </c>
      <c r="C645" s="159" t="s">
        <v>1911</v>
      </c>
      <c r="D645" s="159" t="s">
        <v>159</v>
      </c>
      <c r="E645" s="187" t="s">
        <v>285</v>
      </c>
      <c r="F645" s="2" t="s">
        <v>1908</v>
      </c>
      <c r="G645" s="187" t="e">
        <f>+VLOOKUP(Table_1[[#This Row],[Account]],BV_Data_An_Cour!$L:$Q,6,0)</f>
        <v>#N/A</v>
      </c>
      <c r="H645" s="2"/>
      <c r="K645" s="2"/>
    </row>
    <row r="646" spans="1:29" ht="15" customHeight="1">
      <c r="A646" s="168" t="s">
        <v>1050</v>
      </c>
      <c r="B646" s="169" t="s">
        <v>1049</v>
      </c>
      <c r="C646" s="159" t="s">
        <v>1911</v>
      </c>
      <c r="D646" s="159" t="s">
        <v>159</v>
      </c>
      <c r="E646" s="187" t="s">
        <v>1909</v>
      </c>
      <c r="F646" s="2"/>
      <c r="G646" s="187" t="e">
        <f>+VLOOKUP(Table_1[[#This Row],[Account]],BV_Data_An_Cour!$L:$Q,6,0)</f>
        <v>#N/A</v>
      </c>
      <c r="H646" s="2"/>
    </row>
    <row r="647" spans="1:29" ht="15" customHeight="1">
      <c r="A647" s="479" t="s">
        <v>1196</v>
      </c>
      <c r="B647" s="478" t="s">
        <v>1195</v>
      </c>
      <c r="C647" s="159" t="s">
        <v>1911</v>
      </c>
      <c r="D647" s="159" t="s">
        <v>159</v>
      </c>
      <c r="E647" s="187" t="s">
        <v>285</v>
      </c>
      <c r="F647" s="2"/>
      <c r="G647" s="187" t="e">
        <f>+VLOOKUP(Table_1[[#This Row],[Account]],BV_Data_An_Cour!$L:$Q,6,0)</f>
        <v>#N/A</v>
      </c>
      <c r="H647" s="2"/>
    </row>
    <row r="648" spans="1:29" ht="15" customHeight="1">
      <c r="A648" s="170" t="s">
        <v>1579</v>
      </c>
      <c r="B648" s="171" t="s">
        <v>1578</v>
      </c>
      <c r="C648" s="159" t="s">
        <v>1911</v>
      </c>
      <c r="D648" s="159" t="s">
        <v>159</v>
      </c>
      <c r="E648" s="187" t="s">
        <v>1909</v>
      </c>
      <c r="F648" s="2"/>
      <c r="G648" s="187" t="e">
        <f>+VLOOKUP(Table_1[[#This Row],[Account]],BV_Data_An_Cour!$L:$Q,6,0)</f>
        <v>#N/A</v>
      </c>
      <c r="H648" s="2"/>
    </row>
    <row r="649" spans="1:29" ht="15" customHeight="1">
      <c r="A649" s="481" t="s">
        <v>1120</v>
      </c>
      <c r="B649" s="481" t="s">
        <v>1119</v>
      </c>
      <c r="C649" s="159" t="s">
        <v>167</v>
      </c>
      <c r="D649" s="159" t="s">
        <v>169</v>
      </c>
      <c r="E649" s="187" t="s">
        <v>285</v>
      </c>
      <c r="F649" s="2" t="s">
        <v>1908</v>
      </c>
      <c r="G649" s="187" t="str">
        <f>+VLOOKUP(Table_1[[#This Row],[Account]],BV_Data_An_Cour!$L:$Q,6,0)</f>
        <v>5-Ventes</v>
      </c>
      <c r="H649" s="2"/>
    </row>
    <row r="650" spans="1:29" ht="15" customHeight="1">
      <c r="A650" s="1208" t="s">
        <v>1581</v>
      </c>
      <c r="B650" s="1212" t="s">
        <v>1580</v>
      </c>
      <c r="C650" s="159" t="s">
        <v>167</v>
      </c>
      <c r="D650" s="159" t="s">
        <v>169</v>
      </c>
      <c r="E650" s="187" t="s">
        <v>1909</v>
      </c>
      <c r="F650" s="2"/>
      <c r="G650" s="187" t="str">
        <f>+VLOOKUP(Table_1[[#This Row],[Account]],BV_Data_An_Cour!$L:$Q,6,0)</f>
        <v>10-Compte compteur</v>
      </c>
      <c r="H650" s="2"/>
    </row>
    <row r="651" spans="1:29" ht="15" customHeight="1">
      <c r="A651" s="476" t="s">
        <v>429</v>
      </c>
      <c r="B651" s="483" t="s">
        <v>1135</v>
      </c>
      <c r="C651" s="159" t="s">
        <v>167</v>
      </c>
      <c r="D651" s="159" t="s">
        <v>169</v>
      </c>
      <c r="E651" s="187" t="s">
        <v>285</v>
      </c>
      <c r="F651" s="2" t="s">
        <v>1908</v>
      </c>
      <c r="G651" s="187" t="str">
        <f>+VLOOKUP(Table_1[[#This Row],[Account]],BV_Data_An_Cour!$L:$Q,6,0)</f>
        <v>5-Ventes</v>
      </c>
      <c r="H651" s="2"/>
    </row>
    <row r="652" spans="1:29" ht="15" customHeight="1">
      <c r="A652" s="168" t="s">
        <v>750</v>
      </c>
      <c r="B652" s="483" t="s">
        <v>1582</v>
      </c>
      <c r="C652" s="159" t="s">
        <v>167</v>
      </c>
      <c r="D652" s="159" t="s">
        <v>169</v>
      </c>
      <c r="E652" s="187" t="s">
        <v>1909</v>
      </c>
      <c r="F652" s="2"/>
      <c r="G652" s="187" t="str">
        <f>+VLOOKUP(Table_1[[#This Row],[Account]],BV_Data_An_Cour!$L:$Q,6,0)</f>
        <v>10-Compte compteur</v>
      </c>
      <c r="H652" s="2"/>
    </row>
    <row r="653" spans="1:29" ht="15" customHeight="1">
      <c r="A653" s="157" t="s">
        <v>457</v>
      </c>
      <c r="B653" s="158" t="s">
        <v>1238</v>
      </c>
      <c r="C653" s="159" t="s">
        <v>167</v>
      </c>
      <c r="D653" s="159" t="s">
        <v>169</v>
      </c>
      <c r="E653" s="187" t="s">
        <v>285</v>
      </c>
      <c r="F653" s="2" t="s">
        <v>1908</v>
      </c>
      <c r="G653" s="187" t="str">
        <f>+VLOOKUP(Table_1[[#This Row],[Account]],BV_Data_An_Cour!$L:$Q,6,0)</f>
        <v>5-Ventes</v>
      </c>
      <c r="H653" s="2"/>
    </row>
    <row r="654" spans="1:29" ht="15" customHeight="1">
      <c r="A654" s="168" t="s">
        <v>1051</v>
      </c>
      <c r="B654" s="169" t="s">
        <v>1583</v>
      </c>
      <c r="C654" s="159" t="s">
        <v>167</v>
      </c>
      <c r="D654" s="159" t="s">
        <v>169</v>
      </c>
      <c r="E654" s="187" t="s">
        <v>1909</v>
      </c>
      <c r="F654" s="2"/>
      <c r="G654" s="187" t="str">
        <f>+VLOOKUP(Table_1[[#This Row],[Account]],BV_Data_An_Cour!$L:$Q,6,0)</f>
        <v>10-Compte compteur</v>
      </c>
      <c r="H654" s="2"/>
    </row>
    <row r="655" spans="1:29" ht="15" customHeight="1">
      <c r="A655" s="749" t="s">
        <v>2082</v>
      </c>
      <c r="B655" s="750" t="s">
        <v>2081</v>
      </c>
      <c r="C655" s="159" t="s">
        <v>167</v>
      </c>
      <c r="D655" s="159" t="s">
        <v>170</v>
      </c>
      <c r="E655" s="187" t="s">
        <v>285</v>
      </c>
      <c r="F655" s="2" t="s">
        <v>1908</v>
      </c>
      <c r="G655" s="187" t="e">
        <f>+VLOOKUP(Table_1[[#This Row],[Account]],BV_Data_An_Cour!$L:$Q,6,0)</f>
        <v>#N/A</v>
      </c>
      <c r="H655" s="2"/>
    </row>
    <row r="656" spans="1:29" ht="15" customHeight="1">
      <c r="A656" s="749" t="s">
        <v>2090</v>
      </c>
      <c r="B656" s="750" t="s">
        <v>2089</v>
      </c>
      <c r="C656" s="159" t="s">
        <v>167</v>
      </c>
      <c r="D656" s="159" t="s">
        <v>170</v>
      </c>
      <c r="E656" s="187" t="s">
        <v>1909</v>
      </c>
      <c r="F656" s="2"/>
      <c r="G656" s="187" t="e">
        <f>+VLOOKUP(Table_1[[#This Row],[Account]],BV_Data_An_Cour!$L:$Q,6,0)</f>
        <v>#N/A</v>
      </c>
      <c r="H656" s="2"/>
    </row>
    <row r="657" spans="1:8" ht="15" customHeight="1">
      <c r="A657" s="479" t="s">
        <v>2422</v>
      </c>
      <c r="B657" s="480" t="s">
        <v>2421</v>
      </c>
      <c r="C657" s="159" t="s">
        <v>167</v>
      </c>
      <c r="D657" s="159" t="s">
        <v>170</v>
      </c>
      <c r="E657" s="187" t="s">
        <v>285</v>
      </c>
      <c r="F657" s="2" t="s">
        <v>1908</v>
      </c>
      <c r="G657" s="493"/>
      <c r="H657" s="2"/>
    </row>
    <row r="658" spans="1:8" ht="15" customHeight="1">
      <c r="A658" s="162" t="s">
        <v>2426</v>
      </c>
      <c r="B658" s="158" t="s">
        <v>2425</v>
      </c>
      <c r="C658" s="159" t="s">
        <v>167</v>
      </c>
      <c r="D658" s="159" t="s">
        <v>170</v>
      </c>
      <c r="E658" s="187" t="s">
        <v>1909</v>
      </c>
      <c r="F658" s="160"/>
      <c r="G658" s="493"/>
      <c r="H658" s="2"/>
    </row>
    <row r="659" spans="1:8" ht="15" customHeight="1">
      <c r="A659" s="162" t="s">
        <v>2473</v>
      </c>
      <c r="B659" s="158" t="s">
        <v>2472</v>
      </c>
      <c r="C659" s="159" t="s">
        <v>167</v>
      </c>
      <c r="D659" s="159" t="s">
        <v>170</v>
      </c>
      <c r="E659" s="187" t="s">
        <v>285</v>
      </c>
      <c r="F659" s="2" t="s">
        <v>2195</v>
      </c>
      <c r="G659" s="493"/>
      <c r="H659" s="2"/>
    </row>
    <row r="660" spans="1:8" ht="15" customHeight="1">
      <c r="A660" s="479" t="s">
        <v>2482</v>
      </c>
      <c r="B660" s="480" t="s">
        <v>2481</v>
      </c>
      <c r="C660" s="159" t="s">
        <v>167</v>
      </c>
      <c r="D660" s="159" t="s">
        <v>170</v>
      </c>
      <c r="E660" s="187" t="s">
        <v>283</v>
      </c>
      <c r="F660" s="160"/>
      <c r="G660" s="493"/>
      <c r="H660" s="2"/>
    </row>
    <row r="661" spans="1:8" ht="15" customHeight="1">
      <c r="A661" s="168" t="s">
        <v>1096</v>
      </c>
      <c r="B661" s="169" t="s">
        <v>1095</v>
      </c>
      <c r="C661" s="159" t="s">
        <v>1893</v>
      </c>
      <c r="D661" s="159" t="s">
        <v>171</v>
      </c>
      <c r="E661" s="187" t="s">
        <v>285</v>
      </c>
      <c r="F661" s="2" t="s">
        <v>1908</v>
      </c>
      <c r="G661" s="187" t="str">
        <f>+VLOOKUP(Table_1[[#This Row],[Account]],BV_Data_An_Cour!$L:$Q,6,0)</f>
        <v>5-Ventes</v>
      </c>
      <c r="H661" s="2"/>
    </row>
    <row r="662" spans="1:8" ht="15" customHeight="1">
      <c r="A662" s="170" t="s">
        <v>1585</v>
      </c>
      <c r="B662" s="171" t="s">
        <v>1584</v>
      </c>
      <c r="C662" s="159" t="s">
        <v>1893</v>
      </c>
      <c r="D662" s="159" t="s">
        <v>171</v>
      </c>
      <c r="E662" s="187" t="s">
        <v>1909</v>
      </c>
      <c r="F662" s="2"/>
      <c r="G662" s="187" t="str">
        <f>+VLOOKUP(Table_1[[#This Row],[Account]],BV_Data_An_Cour!$L:$Q,6,0)</f>
        <v>10-Compte compteur</v>
      </c>
      <c r="H662" s="2"/>
    </row>
    <row r="663" spans="1:8" ht="15" customHeight="1">
      <c r="A663" s="169" t="s">
        <v>465</v>
      </c>
      <c r="B663" s="169" t="s">
        <v>1099</v>
      </c>
      <c r="C663" s="159" t="s">
        <v>1893</v>
      </c>
      <c r="D663" s="159" t="s">
        <v>171</v>
      </c>
      <c r="E663" s="187" t="s">
        <v>285</v>
      </c>
      <c r="F663" s="2" t="s">
        <v>1908</v>
      </c>
      <c r="G663" s="187" t="str">
        <f>+VLOOKUP(Table_1[[#This Row],[Account]],BV_Data_An_Cour!$L:$Q,6,0)</f>
        <v>5-Ventes</v>
      </c>
      <c r="H663" s="2"/>
    </row>
    <row r="664" spans="1:8" ht="15" customHeight="1">
      <c r="A664" s="476" t="s">
        <v>751</v>
      </c>
      <c r="B664" s="483" t="s">
        <v>1586</v>
      </c>
      <c r="C664" s="159" t="s">
        <v>1893</v>
      </c>
      <c r="D664" s="159" t="s">
        <v>171</v>
      </c>
      <c r="E664" s="187" t="s">
        <v>1909</v>
      </c>
      <c r="F664" s="2"/>
      <c r="G664" s="187" t="str">
        <f>+VLOOKUP(Table_1[[#This Row],[Account]],BV_Data_An_Cour!$L:$Q,6,0)</f>
        <v>10-Compte compteur</v>
      </c>
      <c r="H664" s="2"/>
    </row>
    <row r="665" spans="1:8" ht="15" customHeight="1">
      <c r="A665" s="475" t="s">
        <v>434</v>
      </c>
      <c r="B665" s="480" t="s">
        <v>1179</v>
      </c>
      <c r="C665" s="159" t="s">
        <v>1893</v>
      </c>
      <c r="D665" s="159" t="s">
        <v>171</v>
      </c>
      <c r="E665" s="187" t="s">
        <v>285</v>
      </c>
      <c r="F665" s="2" t="s">
        <v>1908</v>
      </c>
      <c r="G665" s="187" t="str">
        <f>+VLOOKUP(Table_1[[#This Row],[Account]],BV_Data_An_Cour!$L:$Q,6,0)</f>
        <v>5-Ventes</v>
      </c>
      <c r="H665" s="2"/>
    </row>
    <row r="666" spans="1:8" ht="15" customHeight="1">
      <c r="A666" s="476" t="s">
        <v>752</v>
      </c>
      <c r="B666" s="734" t="s">
        <v>1587</v>
      </c>
      <c r="C666" s="159" t="s">
        <v>1893</v>
      </c>
      <c r="D666" s="159" t="s">
        <v>171</v>
      </c>
      <c r="E666" s="187" t="s">
        <v>1909</v>
      </c>
      <c r="F666" s="2"/>
      <c r="G666" s="187" t="str">
        <f>+VLOOKUP(Table_1[[#This Row],[Account]],BV_Data_An_Cour!$L:$Q,6,0)</f>
        <v>10-Compte compteur</v>
      </c>
      <c r="H666" s="2"/>
    </row>
    <row r="667" spans="1:8" ht="15" customHeight="1">
      <c r="A667" s="476" t="s">
        <v>464</v>
      </c>
      <c r="B667" s="483" t="s">
        <v>1149</v>
      </c>
      <c r="C667" s="159" t="s">
        <v>1893</v>
      </c>
      <c r="D667" s="159" t="s">
        <v>171</v>
      </c>
      <c r="E667" s="187" t="s">
        <v>285</v>
      </c>
      <c r="F667" s="2" t="s">
        <v>1908</v>
      </c>
      <c r="G667" s="187" t="str">
        <f>+VLOOKUP(Table_1[[#This Row],[Account]],BV_Data_An_Cour!$L:$Q,6,0)</f>
        <v>5-Ventes</v>
      </c>
      <c r="H667" s="2"/>
    </row>
    <row r="668" spans="1:8" ht="15" customHeight="1">
      <c r="A668" s="476" t="s">
        <v>753</v>
      </c>
      <c r="B668" s="483" t="s">
        <v>1588</v>
      </c>
      <c r="C668" s="159" t="s">
        <v>1893</v>
      </c>
      <c r="D668" s="159" t="s">
        <v>171</v>
      </c>
      <c r="E668" s="187" t="s">
        <v>1909</v>
      </c>
      <c r="F668" s="2"/>
      <c r="G668" s="187" t="str">
        <f>+VLOOKUP(Table_1[[#This Row],[Account]],BV_Data_An_Cour!$L:$Q,6,0)</f>
        <v>10-Compte compteur</v>
      </c>
      <c r="H668" s="2"/>
    </row>
    <row r="669" spans="1:8" ht="15" customHeight="1">
      <c r="A669" s="169" t="s">
        <v>470</v>
      </c>
      <c r="B669" s="169" t="s">
        <v>1230</v>
      </c>
      <c r="C669" s="159" t="s">
        <v>1893</v>
      </c>
      <c r="D669" s="159" t="s">
        <v>171</v>
      </c>
      <c r="E669" s="187" t="s">
        <v>285</v>
      </c>
      <c r="F669" s="2" t="s">
        <v>1908</v>
      </c>
      <c r="G669" s="187" t="str">
        <f>+VLOOKUP(Table_1[[#This Row],[Account]],BV_Data_An_Cour!$L:$Q,6,0)</f>
        <v>5-Ventes</v>
      </c>
      <c r="H669" s="2"/>
    </row>
    <row r="670" spans="1:8" ht="15" customHeight="1">
      <c r="A670" s="170" t="s">
        <v>1052</v>
      </c>
      <c r="B670" s="171" t="s">
        <v>1589</v>
      </c>
      <c r="C670" s="159" t="s">
        <v>1893</v>
      </c>
      <c r="D670" s="159" t="s">
        <v>171</v>
      </c>
      <c r="E670" s="187" t="s">
        <v>1909</v>
      </c>
      <c r="F670" s="2"/>
      <c r="G670" s="187" t="str">
        <f>+VLOOKUP(Table_1[[#This Row],[Account]],BV_Data_An_Cour!$L:$Q,6,0)</f>
        <v>10-Compte compteur</v>
      </c>
      <c r="H670" s="2"/>
    </row>
    <row r="671" spans="1:8" ht="15" customHeight="1">
      <c r="A671" s="480" t="s">
        <v>634</v>
      </c>
      <c r="B671" s="480" t="s">
        <v>1027</v>
      </c>
      <c r="C671" s="159" t="s">
        <v>1893</v>
      </c>
      <c r="D671" s="159" t="s">
        <v>171</v>
      </c>
      <c r="E671" s="187" t="s">
        <v>285</v>
      </c>
      <c r="F671" s="2" t="s">
        <v>1908</v>
      </c>
      <c r="G671" s="187" t="str">
        <f>+VLOOKUP(Table_1[[#This Row],[Account]],BV_Data_An_Cour!$L:$Q,6,0)</f>
        <v>5-Ventes</v>
      </c>
      <c r="H671" s="2"/>
    </row>
    <row r="672" spans="1:8" ht="15" customHeight="1">
      <c r="A672" s="477" t="s">
        <v>1054</v>
      </c>
      <c r="B672" s="481" t="s">
        <v>1053</v>
      </c>
      <c r="C672" s="159" t="s">
        <v>1893</v>
      </c>
      <c r="D672" s="159" t="s">
        <v>171</v>
      </c>
      <c r="E672" s="187" t="s">
        <v>1909</v>
      </c>
      <c r="F672" s="2"/>
      <c r="G672" s="187" t="str">
        <f>+VLOOKUP(Table_1[[#This Row],[Account]],BV_Data_An_Cour!$L:$Q,6,0)</f>
        <v>10-Compte compteur</v>
      </c>
      <c r="H672" s="2"/>
    </row>
    <row r="673" spans="1:11" ht="15" customHeight="1">
      <c r="A673" s="170" t="s">
        <v>1132</v>
      </c>
      <c r="B673" s="171" t="s">
        <v>1148</v>
      </c>
      <c r="C673" s="159" t="s">
        <v>1893</v>
      </c>
      <c r="D673" s="159" t="s">
        <v>172</v>
      </c>
      <c r="E673" s="187" t="s">
        <v>285</v>
      </c>
      <c r="F673" s="2" t="s">
        <v>1908</v>
      </c>
      <c r="G673" s="187" t="str">
        <f>+VLOOKUP(Table_1[[#This Row],[Account]],BV_Data_An_Cour!$L:$Q,6,0)</f>
        <v>5-Ventes</v>
      </c>
      <c r="H673" s="2"/>
    </row>
    <row r="674" spans="1:11" ht="15" customHeight="1">
      <c r="A674" s="170" t="s">
        <v>1591</v>
      </c>
      <c r="B674" s="171" t="s">
        <v>1590</v>
      </c>
      <c r="C674" s="159" t="s">
        <v>1893</v>
      </c>
      <c r="D674" s="159" t="s">
        <v>172</v>
      </c>
      <c r="E674" s="187" t="s">
        <v>1909</v>
      </c>
      <c r="F674" s="2"/>
      <c r="G674" s="187" t="str">
        <f>+VLOOKUP(Table_1[[#This Row],[Account]],BV_Data_An_Cour!$L:$Q,6,0)</f>
        <v>10-Compte compteur</v>
      </c>
      <c r="H674" s="2"/>
    </row>
    <row r="675" spans="1:11" ht="15" customHeight="1">
      <c r="A675" s="475" t="s">
        <v>449</v>
      </c>
      <c r="B675" s="480" t="s">
        <v>1131</v>
      </c>
      <c r="C675" s="159" t="s">
        <v>1893</v>
      </c>
      <c r="D675" s="159" t="s">
        <v>172</v>
      </c>
      <c r="E675" s="187" t="s">
        <v>285</v>
      </c>
      <c r="F675" s="2" t="s">
        <v>1908</v>
      </c>
      <c r="G675" s="187" t="str">
        <f>+VLOOKUP(Table_1[[#This Row],[Account]],BV_Data_An_Cour!$L:$Q,6,0)</f>
        <v>5-Ventes</v>
      </c>
      <c r="H675" s="2"/>
    </row>
    <row r="676" spans="1:11" ht="15" customHeight="1">
      <c r="A676" s="168" t="s">
        <v>754</v>
      </c>
      <c r="B676" s="169" t="s">
        <v>1592</v>
      </c>
      <c r="C676" s="159" t="s">
        <v>1893</v>
      </c>
      <c r="D676" s="159" t="s">
        <v>172</v>
      </c>
      <c r="E676" s="187" t="s">
        <v>1909</v>
      </c>
      <c r="F676" s="2"/>
      <c r="G676" s="187" t="str">
        <f>+VLOOKUP(Table_1[[#This Row],[Account]],BV_Data_An_Cour!$L:$Q,6,0)</f>
        <v>10-Compte compteur</v>
      </c>
      <c r="H676" s="2"/>
    </row>
    <row r="677" spans="1:11" ht="15" customHeight="1">
      <c r="A677" s="475" t="s">
        <v>636</v>
      </c>
      <c r="B677" s="480" t="s">
        <v>635</v>
      </c>
      <c r="C677" s="159" t="s">
        <v>1893</v>
      </c>
      <c r="D677" s="159" t="s">
        <v>172</v>
      </c>
      <c r="E677" s="187" t="s">
        <v>285</v>
      </c>
      <c r="F677" s="2" t="s">
        <v>1908</v>
      </c>
      <c r="G677" s="187" t="str">
        <f>+VLOOKUP(Table_1[[#This Row],[Account]],BV_Data_An_Cour!$L:$Q,6,0)</f>
        <v>5-Ventes</v>
      </c>
      <c r="H677" s="2"/>
    </row>
    <row r="678" spans="1:11" ht="15" customHeight="1">
      <c r="A678" s="481" t="s">
        <v>1056</v>
      </c>
      <c r="B678" s="481" t="s">
        <v>1055</v>
      </c>
      <c r="C678" s="159" t="s">
        <v>1893</v>
      </c>
      <c r="D678" s="159" t="s">
        <v>172</v>
      </c>
      <c r="E678" s="187" t="s">
        <v>1909</v>
      </c>
      <c r="F678" s="2"/>
      <c r="G678" s="187" t="str">
        <f>+VLOOKUP(Table_1[[#This Row],[Account]],BV_Data_An_Cour!$L:$Q,6,0)</f>
        <v>10-Compte compteur</v>
      </c>
      <c r="H678" s="2"/>
    </row>
    <row r="679" spans="1:11" ht="15" customHeight="1">
      <c r="A679" s="170" t="s">
        <v>1118</v>
      </c>
      <c r="B679" s="171" t="s">
        <v>1117</v>
      </c>
      <c r="C679" s="159" t="s">
        <v>1893</v>
      </c>
      <c r="D679" s="159" t="s">
        <v>173</v>
      </c>
      <c r="E679" s="187" t="s">
        <v>285</v>
      </c>
      <c r="F679" s="2" t="s">
        <v>1908</v>
      </c>
      <c r="G679" s="187" t="str">
        <f>+VLOOKUP(Table_1[[#This Row],[Account]],BV_Data_An_Cour!$L:$Q,6,0)</f>
        <v>5-Ventes</v>
      </c>
      <c r="H679" s="2"/>
    </row>
    <row r="680" spans="1:11" ht="15" customHeight="1">
      <c r="A680" s="170" t="s">
        <v>1594</v>
      </c>
      <c r="B680" s="171" t="s">
        <v>1593</v>
      </c>
      <c r="C680" s="159" t="s">
        <v>1893</v>
      </c>
      <c r="D680" s="159" t="s">
        <v>173</v>
      </c>
      <c r="E680" s="187" t="s">
        <v>1909</v>
      </c>
      <c r="F680" s="2"/>
      <c r="G680" s="187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8" t="s">
        <v>460</v>
      </c>
      <c r="B681" s="169" t="s">
        <v>1187</v>
      </c>
      <c r="C681" s="159" t="s">
        <v>1893</v>
      </c>
      <c r="D681" s="159" t="s">
        <v>173</v>
      </c>
      <c r="E681" s="187" t="s">
        <v>285</v>
      </c>
      <c r="F681" s="2" t="s">
        <v>1908</v>
      </c>
      <c r="G681" s="187" t="str">
        <f>+VLOOKUP(Table_1[[#This Row],[Account]],BV_Data_An_Cour!$L:$Q,6,0)</f>
        <v>5-Ventes</v>
      </c>
      <c r="H681" s="2"/>
    </row>
    <row r="682" spans="1:11" ht="15" customHeight="1">
      <c r="A682" s="170" t="s">
        <v>755</v>
      </c>
      <c r="B682" s="171" t="s">
        <v>1595</v>
      </c>
      <c r="C682" s="159" t="s">
        <v>1893</v>
      </c>
      <c r="D682" s="159" t="s">
        <v>173</v>
      </c>
      <c r="E682" s="187" t="s">
        <v>1909</v>
      </c>
      <c r="F682" s="2"/>
      <c r="G682" s="187" t="str">
        <f>+VLOOKUP(Table_1[[#This Row],[Account]],BV_Data_An_Cour!$L:$Q,6,0)</f>
        <v>10-Compte compteur</v>
      </c>
      <c r="H682" s="2"/>
    </row>
    <row r="683" spans="1:11" ht="15" customHeight="1">
      <c r="A683" s="168" t="s">
        <v>425</v>
      </c>
      <c r="B683" s="483" t="s">
        <v>1133</v>
      </c>
      <c r="C683" s="159" t="s">
        <v>1893</v>
      </c>
      <c r="D683" s="159" t="s">
        <v>173</v>
      </c>
      <c r="E683" s="187" t="s">
        <v>285</v>
      </c>
      <c r="F683" s="2" t="s">
        <v>1908</v>
      </c>
      <c r="G683" s="187" t="str">
        <f>+VLOOKUP(Table_1[[#This Row],[Account]],BV_Data_An_Cour!$L:$Q,6,0)</f>
        <v>5-Ventes</v>
      </c>
      <c r="H683" s="2"/>
    </row>
    <row r="684" spans="1:11" ht="15" customHeight="1">
      <c r="A684" s="477" t="s">
        <v>756</v>
      </c>
      <c r="B684" s="481" t="s">
        <v>1596</v>
      </c>
      <c r="C684" s="159" t="s">
        <v>1893</v>
      </c>
      <c r="D684" s="159" t="s">
        <v>173</v>
      </c>
      <c r="E684" s="187" t="s">
        <v>1909</v>
      </c>
      <c r="F684" s="2"/>
      <c r="G684" s="187" t="str">
        <f>+VLOOKUP(Table_1[[#This Row],[Account]],BV_Data_An_Cour!$L:$Q,6,0)</f>
        <v>10-Compte compteur</v>
      </c>
      <c r="H684" s="2"/>
    </row>
    <row r="685" spans="1:11" ht="15" customHeight="1">
      <c r="A685" s="476" t="s">
        <v>1167</v>
      </c>
      <c r="B685" s="483" t="s">
        <v>1166</v>
      </c>
      <c r="C685" s="159" t="s">
        <v>1893</v>
      </c>
      <c r="D685" s="159" t="s">
        <v>174</v>
      </c>
      <c r="E685" s="187" t="s">
        <v>285</v>
      </c>
      <c r="F685" s="2" t="s">
        <v>1908</v>
      </c>
      <c r="G685" s="187" t="str">
        <f>+VLOOKUP(Table_1[[#This Row],[Account]],BV_Data_An_Cour!$L:$Q,6,0)</f>
        <v>5-Ventes</v>
      </c>
      <c r="H685" s="2"/>
    </row>
    <row r="686" spans="1:11" ht="15" customHeight="1">
      <c r="A686" s="476" t="s">
        <v>1598</v>
      </c>
      <c r="B686" s="483" t="s">
        <v>1597</v>
      </c>
      <c r="C686" s="159" t="s">
        <v>1893</v>
      </c>
      <c r="D686" s="159" t="s">
        <v>174</v>
      </c>
      <c r="E686" s="187" t="s">
        <v>1909</v>
      </c>
      <c r="F686" s="2"/>
      <c r="G686" s="187" t="str">
        <f>+VLOOKUP(Table_1[[#This Row],[Account]],BV_Data_An_Cour!$L:$Q,6,0)</f>
        <v>10-Compte compteur</v>
      </c>
      <c r="H686" s="2"/>
    </row>
    <row r="687" spans="1:11" ht="15" customHeight="1">
      <c r="A687" s="479" t="s">
        <v>453</v>
      </c>
      <c r="B687" s="478" t="s">
        <v>1865</v>
      </c>
      <c r="C687" s="159" t="s">
        <v>167</v>
      </c>
      <c r="D687" s="468" t="s">
        <v>174</v>
      </c>
      <c r="E687" s="187" t="s">
        <v>285</v>
      </c>
      <c r="F687" s="2" t="s">
        <v>1908</v>
      </c>
      <c r="G687" s="187" t="e">
        <f>+VLOOKUP(Table_1[[#This Row],[Account]],BV_Data_An_Cour!$L:$Q,6,0)</f>
        <v>#N/A</v>
      </c>
      <c r="H687" s="2"/>
    </row>
    <row r="688" spans="1:11" ht="15" customHeight="1">
      <c r="A688" s="162" t="s">
        <v>757</v>
      </c>
      <c r="B688" s="163" t="s">
        <v>1880</v>
      </c>
      <c r="C688" s="159" t="s">
        <v>167</v>
      </c>
      <c r="D688" s="159" t="s">
        <v>174</v>
      </c>
      <c r="E688" s="187" t="s">
        <v>1909</v>
      </c>
      <c r="F688" s="2"/>
      <c r="G688" s="187" t="e">
        <f>+VLOOKUP(Table_1[[#This Row],[Account]],BV_Data_An_Cour!$L:$Q,6,0)</f>
        <v>#N/A</v>
      </c>
      <c r="H688" s="2"/>
    </row>
    <row r="689" spans="1:29" ht="15" customHeight="1">
      <c r="A689" s="163" t="s">
        <v>2118</v>
      </c>
      <c r="B689" s="163" t="s">
        <v>2117</v>
      </c>
      <c r="C689" s="159" t="s">
        <v>167</v>
      </c>
      <c r="D689" s="159" t="s">
        <v>175</v>
      </c>
      <c r="E689" s="187" t="s">
        <v>285</v>
      </c>
      <c r="F689" s="2"/>
      <c r="G689" s="187" t="e">
        <f>+VLOOKUP(Table_1[[#This Row],[Account]],BV_Data_An_Cour!$L:$Q,6,0)</f>
        <v>#N/A</v>
      </c>
      <c r="H689" s="2"/>
    </row>
    <row r="690" spans="1:29" ht="15" customHeight="1">
      <c r="A690" s="475" t="s">
        <v>637</v>
      </c>
      <c r="B690" s="480" t="s">
        <v>1412</v>
      </c>
      <c r="C690" s="159" t="s">
        <v>75</v>
      </c>
      <c r="D690" s="159" t="s">
        <v>87</v>
      </c>
      <c r="E690" s="187" t="s">
        <v>285</v>
      </c>
      <c r="F690" s="2" t="s">
        <v>1908</v>
      </c>
      <c r="G690" s="187" t="e">
        <f>+VLOOKUP(Table_1[[#This Row],[Account]],BV_Data_An_Cour!$L:$Q,6,0)</f>
        <v>#N/A</v>
      </c>
      <c r="H690" s="2"/>
    </row>
    <row r="691" spans="1:29" ht="15" customHeight="1">
      <c r="A691" s="477" t="s">
        <v>758</v>
      </c>
      <c r="B691" s="481" t="s">
        <v>1599</v>
      </c>
      <c r="C691" s="159" t="s">
        <v>75</v>
      </c>
      <c r="D691" s="159" t="s">
        <v>87</v>
      </c>
      <c r="E691" s="187" t="s">
        <v>1909</v>
      </c>
      <c r="F691" s="2"/>
      <c r="G691" s="187" t="e">
        <f>+VLOOKUP(Table_1[[#This Row],[Account]],BV_Data_An_Cour!$L:$Q,6,0)</f>
        <v>#N/A</v>
      </c>
      <c r="H691" s="2"/>
    </row>
    <row r="692" spans="1:29" ht="15" customHeight="1">
      <c r="A692" s="157" t="s">
        <v>639</v>
      </c>
      <c r="B692" s="158" t="s">
        <v>638</v>
      </c>
      <c r="C692" s="159" t="s">
        <v>75</v>
      </c>
      <c r="D692" s="159" t="s">
        <v>87</v>
      </c>
      <c r="E692" s="187" t="s">
        <v>285</v>
      </c>
      <c r="F692" s="2" t="s">
        <v>1908</v>
      </c>
      <c r="G692" s="187" t="e">
        <f>+VLOOKUP(Table_1[[#This Row],[Account]],BV_Data_An_Cour!$L:$Q,6,0)</f>
        <v>#N/A</v>
      </c>
      <c r="H692" s="2"/>
    </row>
    <row r="693" spans="1:29" ht="15" customHeight="1">
      <c r="A693" s="168" t="s">
        <v>760</v>
      </c>
      <c r="B693" s="169" t="s">
        <v>759</v>
      </c>
      <c r="C693" s="159" t="s">
        <v>75</v>
      </c>
      <c r="D693" s="159" t="s">
        <v>87</v>
      </c>
      <c r="E693" s="187" t="s">
        <v>1909</v>
      </c>
      <c r="F693" s="2"/>
      <c r="G693" s="187" t="e">
        <f>+VLOOKUP(Table_1[[#This Row],[Account]],BV_Data_An_Cour!$L:$Q,6,0)</f>
        <v>#N/A</v>
      </c>
      <c r="H693" s="2"/>
      <c r="K693" s="2"/>
    </row>
    <row r="694" spans="1:29" ht="15" customHeight="1">
      <c r="A694" s="162" t="s">
        <v>2517</v>
      </c>
      <c r="B694" s="158" t="s">
        <v>2516</v>
      </c>
      <c r="C694" s="159" t="s">
        <v>75</v>
      </c>
      <c r="D694" s="159" t="s">
        <v>87</v>
      </c>
      <c r="E694" s="187" t="s">
        <v>285</v>
      </c>
      <c r="F694" s="2" t="s">
        <v>1908</v>
      </c>
      <c r="G694" s="493"/>
      <c r="H694" s="2"/>
    </row>
    <row r="695" spans="1:29" ht="15" customHeight="1">
      <c r="A695" s="162" t="s">
        <v>2524</v>
      </c>
      <c r="B695" s="158" t="s">
        <v>2523</v>
      </c>
      <c r="C695" s="159" t="s">
        <v>75</v>
      </c>
      <c r="D695" s="159" t="s">
        <v>87</v>
      </c>
      <c r="E695" s="187" t="s">
        <v>283</v>
      </c>
      <c r="F695" s="2"/>
      <c r="G695" s="493"/>
      <c r="H695" s="2"/>
      <c r="K695" s="2"/>
    </row>
    <row r="696" spans="1:29" ht="15" customHeight="1">
      <c r="A696" s="162" t="s">
        <v>2519</v>
      </c>
      <c r="B696" s="158" t="s">
        <v>2518</v>
      </c>
      <c r="C696" s="159" t="s">
        <v>75</v>
      </c>
      <c r="D696" s="159" t="s">
        <v>87</v>
      </c>
      <c r="E696" s="187" t="s">
        <v>285</v>
      </c>
      <c r="F696" s="2" t="s">
        <v>1908</v>
      </c>
      <c r="G696" s="493"/>
      <c r="H696" s="2"/>
    </row>
    <row r="697" spans="1:29" ht="15" customHeight="1">
      <c r="A697" s="162" t="s">
        <v>2525</v>
      </c>
      <c r="B697" s="158" t="s">
        <v>2518</v>
      </c>
      <c r="C697" s="159" t="s">
        <v>75</v>
      </c>
      <c r="D697" s="159" t="s">
        <v>87</v>
      </c>
      <c r="E697" s="187" t="s">
        <v>283</v>
      </c>
      <c r="F697" s="2"/>
      <c r="G697" s="493"/>
      <c r="H697" s="2"/>
    </row>
    <row r="698" spans="1:29" ht="15" customHeight="1">
      <c r="A698" s="162" t="s">
        <v>2847</v>
      </c>
      <c r="B698" s="158" t="s">
        <v>2846</v>
      </c>
      <c r="C698" s="159" t="s">
        <v>75</v>
      </c>
      <c r="D698" s="159" t="s">
        <v>87</v>
      </c>
      <c r="E698" s="187" t="s">
        <v>285</v>
      </c>
      <c r="F698" s="2" t="s">
        <v>1908</v>
      </c>
      <c r="G698" s="493"/>
      <c r="H698" s="2"/>
    </row>
    <row r="699" spans="1:29" ht="15" customHeight="1">
      <c r="A699" s="162" t="s">
        <v>2857</v>
      </c>
      <c r="B699" s="158" t="s">
        <v>2846</v>
      </c>
      <c r="C699" s="159" t="s">
        <v>75</v>
      </c>
      <c r="D699" s="159" t="s">
        <v>87</v>
      </c>
      <c r="E699" s="187" t="s">
        <v>1909</v>
      </c>
      <c r="F699" s="160"/>
      <c r="G699" s="493"/>
      <c r="H699" s="2"/>
    </row>
    <row r="700" spans="1:29" ht="15" customHeight="1">
      <c r="A700" s="168" t="s">
        <v>417</v>
      </c>
      <c r="B700" s="169" t="s">
        <v>422</v>
      </c>
      <c r="C700" s="159" t="s">
        <v>1893</v>
      </c>
      <c r="D700" s="159" t="s">
        <v>178</v>
      </c>
      <c r="E700" s="187" t="s">
        <v>285</v>
      </c>
      <c r="F700" s="2" t="s">
        <v>1908</v>
      </c>
      <c r="G700" s="187" t="str">
        <f>+VLOOKUP(Table_1[[#This Row],[Account]],BV_Data_An_Cour!$L:$Q,6,0)</f>
        <v>5-Ventes</v>
      </c>
      <c r="H700" s="2"/>
    </row>
    <row r="701" spans="1:29" ht="15" customHeight="1">
      <c r="A701" s="168" t="s">
        <v>761</v>
      </c>
      <c r="B701" s="169" t="s">
        <v>1600</v>
      </c>
      <c r="C701" s="159" t="s">
        <v>1893</v>
      </c>
      <c r="D701" s="159" t="s">
        <v>178</v>
      </c>
      <c r="E701" s="187" t="s">
        <v>1909</v>
      </c>
      <c r="F701" s="2"/>
      <c r="G701" s="187" t="str">
        <f>+VLOOKUP(Table_1[[#This Row],[Account]],BV_Data_An_Cour!$L:$Q,6,0)</f>
        <v>10-Compte compteur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7" t="s">
        <v>445</v>
      </c>
      <c r="B702" s="158" t="s">
        <v>1146</v>
      </c>
      <c r="C702" s="159" t="s">
        <v>1893</v>
      </c>
      <c r="D702" s="159" t="s">
        <v>179</v>
      </c>
      <c r="E702" s="187" t="s">
        <v>285</v>
      </c>
      <c r="F702" s="2" t="s">
        <v>1908</v>
      </c>
      <c r="G702" s="187" t="str">
        <f>+VLOOKUP(Table_1[[#This Row],[Account]],BV_Data_An_Cour!$L:$Q,6,0)</f>
        <v>5-Ventes</v>
      </c>
      <c r="H702" s="2"/>
    </row>
    <row r="703" spans="1:29" ht="15" customHeight="1">
      <c r="A703" s="476" t="s">
        <v>762</v>
      </c>
      <c r="B703" s="483" t="s">
        <v>1601</v>
      </c>
      <c r="C703" s="159" t="s">
        <v>1893</v>
      </c>
      <c r="D703" s="159" t="s">
        <v>179</v>
      </c>
      <c r="E703" s="187" t="s">
        <v>1909</v>
      </c>
      <c r="F703" s="2"/>
      <c r="G703" s="187" t="str">
        <f>+VLOOKUP(Table_1[[#This Row],[Account]],BV_Data_An_Cour!$L:$Q,6,0)</f>
        <v>10-Compte compteur</v>
      </c>
      <c r="H703" s="2"/>
    </row>
    <row r="704" spans="1:29" ht="15" customHeight="1">
      <c r="A704" s="476" t="s">
        <v>1151</v>
      </c>
      <c r="B704" s="483" t="s">
        <v>1150</v>
      </c>
      <c r="C704" s="159" t="s">
        <v>1893</v>
      </c>
      <c r="D704" s="159" t="s">
        <v>179</v>
      </c>
      <c r="E704" s="187" t="s">
        <v>285</v>
      </c>
      <c r="F704" s="2" t="s">
        <v>1908</v>
      </c>
      <c r="G704" s="187" t="str">
        <f>+VLOOKUP(Table_1[[#This Row],[Account]],BV_Data_An_Cour!$L:$Q,6,0)</f>
        <v>5-Ventes</v>
      </c>
      <c r="H704" s="2"/>
    </row>
    <row r="705" spans="1:8" ht="15" customHeight="1">
      <c r="A705" s="476" t="s">
        <v>1603</v>
      </c>
      <c r="B705" s="483" t="s">
        <v>1602</v>
      </c>
      <c r="C705" s="159" t="s">
        <v>1893</v>
      </c>
      <c r="D705" s="159" t="s">
        <v>179</v>
      </c>
      <c r="E705" s="187" t="s">
        <v>1909</v>
      </c>
      <c r="F705" s="2"/>
      <c r="G705" s="187" t="str">
        <f>+VLOOKUP(Table_1[[#This Row],[Account]],BV_Data_An_Cour!$L:$Q,6,0)</f>
        <v>10-Compte compteur</v>
      </c>
      <c r="H705" s="2"/>
    </row>
    <row r="706" spans="1:8" ht="15" customHeight="1">
      <c r="A706" s="168" t="s">
        <v>365</v>
      </c>
      <c r="B706" s="169" t="s">
        <v>1413</v>
      </c>
      <c r="C706" s="159" t="s">
        <v>1894</v>
      </c>
      <c r="D706" s="159" t="s">
        <v>164</v>
      </c>
      <c r="E706" s="187" t="s">
        <v>285</v>
      </c>
      <c r="F706" s="2" t="s">
        <v>1908</v>
      </c>
      <c r="G706" s="187" t="e">
        <f>+VLOOKUP(Table_1[[#This Row],[Account]],BV_Data_An_Cour!$L:$Q,6,0)</f>
        <v>#N/A</v>
      </c>
      <c r="H706" s="2"/>
    </row>
    <row r="707" spans="1:8" ht="15" customHeight="1">
      <c r="A707" s="476" t="s">
        <v>763</v>
      </c>
      <c r="B707" s="483" t="s">
        <v>1604</v>
      </c>
      <c r="C707" s="159" t="s">
        <v>1894</v>
      </c>
      <c r="D707" s="159" t="s">
        <v>164</v>
      </c>
      <c r="E707" s="187" t="s">
        <v>1909</v>
      </c>
      <c r="F707" s="2"/>
      <c r="G707" s="187" t="e">
        <f>+VLOOKUP(Table_1[[#This Row],[Account]],BV_Data_An_Cour!$L:$Q,6,0)</f>
        <v>#N/A</v>
      </c>
      <c r="H707" s="2"/>
    </row>
    <row r="708" spans="1:8" ht="15" customHeight="1">
      <c r="A708" s="162" t="s">
        <v>781</v>
      </c>
      <c r="B708" s="163" t="s">
        <v>1873</v>
      </c>
      <c r="C708" s="159" t="s">
        <v>75</v>
      </c>
      <c r="D708" s="159" t="s">
        <v>125</v>
      </c>
      <c r="E708" s="187" t="s">
        <v>285</v>
      </c>
      <c r="F708" s="2"/>
      <c r="G708" s="187" t="e">
        <f>+VLOOKUP(Table_1[[#This Row],[Account]],BV_Data_An_Cour!$L:$Q,6,0)</f>
        <v>#N/A</v>
      </c>
      <c r="H708" s="2"/>
    </row>
    <row r="709" spans="1:8" ht="15" customHeight="1">
      <c r="A709" s="162" t="s">
        <v>769</v>
      </c>
      <c r="B709" s="163" t="s">
        <v>1874</v>
      </c>
      <c r="C709" s="159" t="s">
        <v>140</v>
      </c>
      <c r="D709" s="159" t="s">
        <v>125</v>
      </c>
      <c r="E709" s="187" t="s">
        <v>285</v>
      </c>
      <c r="F709" s="2"/>
      <c r="G709" s="187" t="e">
        <f>+VLOOKUP(Table_1[[#This Row],[Account]],BV_Data_An_Cour!$L:$Q,6,0)</f>
        <v>#N/A</v>
      </c>
      <c r="H709" s="2"/>
    </row>
    <row r="710" spans="1:8" ht="15" customHeight="1">
      <c r="A710" s="474" t="s">
        <v>908</v>
      </c>
      <c r="B710" s="482" t="s">
        <v>1677</v>
      </c>
      <c r="C710" s="159" t="s">
        <v>147</v>
      </c>
      <c r="D710" s="159" t="s">
        <v>125</v>
      </c>
      <c r="E710" s="187" t="s">
        <v>285</v>
      </c>
      <c r="F710" s="2"/>
      <c r="G710" s="187" t="str">
        <f>+VLOOKUP(Table_1[[#This Row],[Account]],BV_Data_An_Cour!$L:$Q,6,0)</f>
        <v>7-Dépenses</v>
      </c>
      <c r="H710" s="2"/>
    </row>
    <row r="711" spans="1:8" ht="15" customHeight="1">
      <c r="A711" s="162" t="s">
        <v>772</v>
      </c>
      <c r="B711" s="163" t="s">
        <v>1664</v>
      </c>
      <c r="C711" s="159" t="s">
        <v>1893</v>
      </c>
      <c r="D711" s="159" t="s">
        <v>125</v>
      </c>
      <c r="E711" s="187" t="s">
        <v>285</v>
      </c>
      <c r="F711" s="187"/>
      <c r="G711" s="187" t="e">
        <f>+VLOOKUP(Table_1[[#This Row],[Account]],BV_Data_An_Cour!$L:$Q,6,0)</f>
        <v>#N/A</v>
      </c>
      <c r="H711" s="2"/>
    </row>
    <row r="712" spans="1:8" ht="15" customHeight="1">
      <c r="A712" s="162" t="s">
        <v>2040</v>
      </c>
      <c r="B712" s="163" t="s">
        <v>2039</v>
      </c>
      <c r="C712" s="159" t="s">
        <v>163</v>
      </c>
      <c r="D712" s="468" t="s">
        <v>125</v>
      </c>
      <c r="E712" s="187" t="s">
        <v>285</v>
      </c>
      <c r="F712" s="2"/>
      <c r="G712" s="187" t="e">
        <f>+VLOOKUP(Table_1[[#This Row],[Account]],BV_Data_An_Cour!$L:$Q,6,0)</f>
        <v>#N/A</v>
      </c>
      <c r="H712" s="2"/>
    </row>
    <row r="713" spans="1:8" ht="15" customHeight="1">
      <c r="A713" s="162" t="s">
        <v>1962</v>
      </c>
      <c r="B713" s="163" t="s">
        <v>1961</v>
      </c>
      <c r="C713" s="159" t="s">
        <v>75</v>
      </c>
      <c r="D713" s="468" t="s">
        <v>120</v>
      </c>
      <c r="E713" s="187" t="s">
        <v>285</v>
      </c>
      <c r="F713" s="2"/>
      <c r="G713" s="187" t="e">
        <f>+VLOOKUP(Table_1[[#This Row],[Account]],BV_Data_An_Cour!$L:$Q,6,0)</f>
        <v>#N/A</v>
      </c>
      <c r="H713" s="2"/>
    </row>
    <row r="714" spans="1:8" ht="15" customHeight="1">
      <c r="A714" s="165" t="s">
        <v>877</v>
      </c>
      <c r="B714" s="164" t="s">
        <v>1163</v>
      </c>
      <c r="C714" s="159" t="s">
        <v>147</v>
      </c>
      <c r="D714" s="159" t="s">
        <v>120</v>
      </c>
      <c r="E714" s="187" t="s">
        <v>285</v>
      </c>
      <c r="F714" s="2"/>
      <c r="G714" s="187" t="str">
        <f>+VLOOKUP(Table_1[[#This Row],[Account]],BV_Data_An_Cour!$L:$Q,6,0)</f>
        <v>7-Dépenses</v>
      </c>
      <c r="H714" s="2"/>
    </row>
    <row r="715" spans="1:8" ht="15" customHeight="1">
      <c r="A715" s="165" t="s">
        <v>1162</v>
      </c>
      <c r="B715" s="164" t="s">
        <v>1161</v>
      </c>
      <c r="C715" s="159" t="s">
        <v>1893</v>
      </c>
      <c r="D715" s="159" t="s">
        <v>120</v>
      </c>
      <c r="E715" s="187" t="s">
        <v>285</v>
      </c>
      <c r="F715" s="2"/>
      <c r="G715" s="187" t="str">
        <f>+VLOOKUP(Table_1[[#This Row],[Account]],BV_Data_An_Cour!$L:$Q,6,0)</f>
        <v>7-Dépenses</v>
      </c>
      <c r="H715" s="2"/>
    </row>
    <row r="716" spans="1:8" ht="15" customHeight="1">
      <c r="A716" s="165" t="s">
        <v>936</v>
      </c>
      <c r="B716" s="164" t="s">
        <v>1762</v>
      </c>
      <c r="C716" s="159" t="s">
        <v>75</v>
      </c>
      <c r="D716" s="159" t="s">
        <v>120</v>
      </c>
      <c r="E716" s="187" t="s">
        <v>285</v>
      </c>
      <c r="F716" s="2"/>
      <c r="G716" s="187" t="str">
        <f>+VLOOKUP(Table_1[[#This Row],[Account]],BV_Data_An_Cour!$L:$Q,6,0)</f>
        <v>7-Dépenses</v>
      </c>
      <c r="H716" s="2"/>
    </row>
    <row r="717" spans="1:8" ht="15" customHeight="1">
      <c r="A717" s="165" t="s">
        <v>864</v>
      </c>
      <c r="B717" s="164" t="s">
        <v>1705</v>
      </c>
      <c r="C717" s="159" t="s">
        <v>140</v>
      </c>
      <c r="D717" s="159" t="s">
        <v>120</v>
      </c>
      <c r="E717" s="187" t="s">
        <v>285</v>
      </c>
      <c r="F717" s="2"/>
      <c r="G717" s="187" t="str">
        <f>+VLOOKUP(Table_1[[#This Row],[Account]],BV_Data_An_Cour!$L:$Q,6,0)</f>
        <v>7-Dépenses</v>
      </c>
      <c r="H717" s="2"/>
    </row>
    <row r="718" spans="1:8" ht="15" customHeight="1">
      <c r="A718" s="162" t="s">
        <v>895</v>
      </c>
      <c r="B718" s="163" t="s">
        <v>1693</v>
      </c>
      <c r="C718" s="159" t="s">
        <v>147</v>
      </c>
      <c r="D718" s="159" t="s">
        <v>120</v>
      </c>
      <c r="E718" s="187" t="s">
        <v>285</v>
      </c>
      <c r="F718" s="2"/>
      <c r="G718" s="187" t="str">
        <f>+VLOOKUP(Table_1[[#This Row],[Account]],BV_Data_An_Cour!$L:$Q,6,0)</f>
        <v>7-Dépenses</v>
      </c>
      <c r="H718" s="2"/>
    </row>
    <row r="719" spans="1:8" ht="15" customHeight="1">
      <c r="A719" s="474" t="s">
        <v>870</v>
      </c>
      <c r="B719" s="482" t="s">
        <v>1666</v>
      </c>
      <c r="C719" s="159" t="s">
        <v>1893</v>
      </c>
      <c r="D719" s="159" t="s">
        <v>120</v>
      </c>
      <c r="E719" s="187" t="s">
        <v>285</v>
      </c>
      <c r="F719" s="2"/>
      <c r="G719" s="187" t="str">
        <f>+VLOOKUP(Table_1[[#This Row],[Account]],BV_Data_An_Cour!$L:$Q,6,0)</f>
        <v>7-Dépenses</v>
      </c>
      <c r="H719" s="2"/>
    </row>
    <row r="720" spans="1:8" ht="15" customHeight="1">
      <c r="A720" s="169" t="s">
        <v>804</v>
      </c>
      <c r="B720" s="169" t="s">
        <v>1618</v>
      </c>
      <c r="C720" s="159" t="s">
        <v>1894</v>
      </c>
      <c r="D720" s="159" t="s">
        <v>120</v>
      </c>
      <c r="E720" s="187" t="s">
        <v>285</v>
      </c>
      <c r="F720" s="2"/>
      <c r="G720" s="187" t="e">
        <f>+VLOOKUP(Table_1[[#This Row],[Account]],BV_Data_An_Cour!$L:$Q,6,0)</f>
        <v>#N/A</v>
      </c>
      <c r="H720" s="2"/>
    </row>
    <row r="721" spans="1:8" ht="15" customHeight="1">
      <c r="A721" s="169" t="s">
        <v>1169</v>
      </c>
      <c r="B721" s="169" t="s">
        <v>1168</v>
      </c>
      <c r="C721" s="159" t="s">
        <v>147</v>
      </c>
      <c r="D721" s="159" t="s">
        <v>120</v>
      </c>
      <c r="E721" s="187" t="s">
        <v>285</v>
      </c>
      <c r="F721" s="187"/>
      <c r="G721" s="187" t="e">
        <f>+VLOOKUP(Table_1[[#This Row],[Account]],BV_Data_An_Cour!$L:$Q,6,0)</f>
        <v>#N/A</v>
      </c>
      <c r="H721" s="2"/>
    </row>
    <row r="722" spans="1:8" ht="15" customHeight="1">
      <c r="A722" s="157" t="s">
        <v>1171</v>
      </c>
      <c r="B722" s="158" t="s">
        <v>1170</v>
      </c>
      <c r="C722" s="159" t="s">
        <v>1893</v>
      </c>
      <c r="D722" s="159" t="s">
        <v>120</v>
      </c>
      <c r="E722" s="187" t="s">
        <v>285</v>
      </c>
      <c r="F722" s="2"/>
      <c r="G722" s="187" t="e">
        <f>+VLOOKUP(Table_1[[#This Row],[Account]],BV_Data_An_Cour!$L:$Q,6,0)</f>
        <v>#N/A</v>
      </c>
      <c r="H722" s="2"/>
    </row>
    <row r="723" spans="1:8" ht="15" customHeight="1">
      <c r="A723" s="162" t="s">
        <v>2437</v>
      </c>
      <c r="B723" s="158" t="s">
        <v>2436</v>
      </c>
      <c r="C723" s="159" t="s">
        <v>147</v>
      </c>
      <c r="D723" s="159" t="s">
        <v>120</v>
      </c>
      <c r="E723" s="187" t="s">
        <v>285</v>
      </c>
      <c r="F723" s="2"/>
      <c r="G723" s="187" t="e">
        <f>+VLOOKUP(Table_1[[#This Row],[Account]],BV_Data_An_Cour!$L:$Q,6,0)</f>
        <v>#N/A</v>
      </c>
      <c r="H723" s="2"/>
    </row>
    <row r="724" spans="1:8" ht="15" customHeight="1">
      <c r="A724" s="162" t="s">
        <v>2439</v>
      </c>
      <c r="B724" s="158" t="s">
        <v>2438</v>
      </c>
      <c r="C724" s="159" t="s">
        <v>1893</v>
      </c>
      <c r="D724" s="159" t="s">
        <v>120</v>
      </c>
      <c r="E724" s="187" t="s">
        <v>285</v>
      </c>
      <c r="F724" s="2"/>
      <c r="G724" s="187" t="e">
        <f>+VLOOKUP(Table_1[[#This Row],[Account]],BV_Data_An_Cour!$L:$Q,6,0)</f>
        <v>#N/A</v>
      </c>
      <c r="H724" s="2"/>
    </row>
    <row r="725" spans="1:8" ht="15" customHeight="1">
      <c r="A725" s="162" t="s">
        <v>2926</v>
      </c>
      <c r="B725" s="158" t="s">
        <v>2925</v>
      </c>
      <c r="C725" s="159" t="s">
        <v>75</v>
      </c>
      <c r="D725" s="159" t="s">
        <v>86</v>
      </c>
      <c r="E725" s="187" t="s">
        <v>285</v>
      </c>
      <c r="F725" s="160"/>
      <c r="G725" s="493"/>
      <c r="H725" s="2"/>
    </row>
    <row r="726" spans="1:8" ht="15" customHeight="1">
      <c r="A726" s="168" t="s">
        <v>641</v>
      </c>
      <c r="B726" s="169" t="s">
        <v>640</v>
      </c>
      <c r="C726" s="159" t="s">
        <v>75</v>
      </c>
      <c r="D726" s="159" t="s">
        <v>86</v>
      </c>
      <c r="E726" s="187" t="s">
        <v>285</v>
      </c>
      <c r="F726" s="2"/>
      <c r="G726" s="187" t="e">
        <f>+VLOOKUP(Table_1[[#This Row],[Account]],BV_Data_An_Cour!$L:$Q,6,0)</f>
        <v>#N/A</v>
      </c>
      <c r="H726" s="2"/>
    </row>
    <row r="727" spans="1:8" ht="15" customHeight="1">
      <c r="A727" s="162" t="s">
        <v>2508</v>
      </c>
      <c r="B727" s="158" t="s">
        <v>2507</v>
      </c>
      <c r="C727" s="159" t="s">
        <v>75</v>
      </c>
      <c r="D727" s="159" t="s">
        <v>86</v>
      </c>
      <c r="E727" s="187" t="s">
        <v>285</v>
      </c>
      <c r="F727" s="160"/>
      <c r="G727" s="493"/>
      <c r="H727" s="2"/>
    </row>
    <row r="728" spans="1:8" ht="15" customHeight="1">
      <c r="A728" s="162" t="s">
        <v>2390</v>
      </c>
      <c r="B728" s="158" t="s">
        <v>2389</v>
      </c>
      <c r="C728" s="159" t="s">
        <v>75</v>
      </c>
      <c r="D728" s="159" t="s">
        <v>87</v>
      </c>
      <c r="E728" s="493" t="s">
        <v>285</v>
      </c>
      <c r="F728" s="160"/>
      <c r="G728" s="493"/>
      <c r="H728" s="2"/>
    </row>
    <row r="729" spans="1:8" ht="15" customHeight="1">
      <c r="A729" s="1192" t="s">
        <v>2347</v>
      </c>
      <c r="B729" s="1201" t="s">
        <v>2346</v>
      </c>
      <c r="C729" s="159" t="s">
        <v>75</v>
      </c>
      <c r="D729" s="159" t="s">
        <v>87</v>
      </c>
      <c r="E729" s="187" t="s">
        <v>285</v>
      </c>
      <c r="F729" s="160"/>
      <c r="G729" s="493"/>
      <c r="H729" s="2"/>
    </row>
    <row r="730" spans="1:8" ht="15" customHeight="1">
      <c r="A730" s="162" t="s">
        <v>2409</v>
      </c>
      <c r="B730" s="158" t="s">
        <v>2408</v>
      </c>
      <c r="C730" s="159" t="s">
        <v>75</v>
      </c>
      <c r="D730" s="159" t="s">
        <v>87</v>
      </c>
      <c r="E730" s="187" t="s">
        <v>285</v>
      </c>
      <c r="F730" s="160"/>
      <c r="G730" s="493"/>
      <c r="H730" s="2"/>
    </row>
    <row r="731" spans="1:8" ht="15" customHeight="1">
      <c r="A731" s="162" t="s">
        <v>2991</v>
      </c>
      <c r="B731" s="158" t="s">
        <v>2989</v>
      </c>
      <c r="C731" s="159" t="s">
        <v>75</v>
      </c>
      <c r="D731" s="159" t="s">
        <v>87</v>
      </c>
      <c r="E731" s="187" t="s">
        <v>285</v>
      </c>
      <c r="F731" s="160"/>
      <c r="G731" s="493"/>
      <c r="H731" s="2"/>
    </row>
    <row r="732" spans="1:8" ht="15" customHeight="1">
      <c r="A732" s="474" t="s">
        <v>2349</v>
      </c>
      <c r="B732" s="733" t="s">
        <v>2348</v>
      </c>
      <c r="C732" s="159" t="s">
        <v>75</v>
      </c>
      <c r="D732" s="159" t="s">
        <v>86</v>
      </c>
      <c r="E732" s="187" t="s">
        <v>285</v>
      </c>
      <c r="F732" s="160"/>
      <c r="G732" s="493"/>
      <c r="H732" s="2"/>
    </row>
    <row r="733" spans="1:8" ht="15" customHeight="1">
      <c r="A733" s="165" t="s">
        <v>2351</v>
      </c>
      <c r="B733" s="1217" t="s">
        <v>2350</v>
      </c>
      <c r="C733" s="159" t="s">
        <v>75</v>
      </c>
      <c r="D733" s="159" t="s">
        <v>86</v>
      </c>
      <c r="E733" s="187" t="s">
        <v>285</v>
      </c>
      <c r="F733" s="160"/>
      <c r="G733" s="493"/>
      <c r="H733" s="2"/>
    </row>
    <row r="734" spans="1:8" ht="15" customHeight="1">
      <c r="A734" s="162" t="s">
        <v>2905</v>
      </c>
      <c r="B734" s="158" t="s">
        <v>2904</v>
      </c>
      <c r="C734" s="159" t="s">
        <v>75</v>
      </c>
      <c r="D734" s="159" t="s">
        <v>86</v>
      </c>
      <c r="E734" s="187" t="s">
        <v>285</v>
      </c>
      <c r="F734" s="160"/>
      <c r="G734" s="493"/>
      <c r="H734" s="2"/>
    </row>
    <row r="735" spans="1:8" ht="15" customHeight="1">
      <c r="A735" s="480" t="s">
        <v>642</v>
      </c>
      <c r="B735" s="480" t="s">
        <v>1414</v>
      </c>
      <c r="C735" s="159" t="s">
        <v>75</v>
      </c>
      <c r="D735" s="159" t="s">
        <v>86</v>
      </c>
      <c r="E735" s="187" t="s">
        <v>285</v>
      </c>
      <c r="F735" s="2"/>
      <c r="G735" s="187" t="e">
        <f>+VLOOKUP(Table_1[[#This Row],[Account]],BV_Data_An_Cour!$L:$Q,6,0)</f>
        <v>#N/A</v>
      </c>
      <c r="H735" s="2"/>
    </row>
    <row r="736" spans="1:8" ht="15" customHeight="1">
      <c r="A736" s="162" t="s">
        <v>2475</v>
      </c>
      <c r="B736" s="158" t="s">
        <v>2474</v>
      </c>
      <c r="C736" s="159" t="s">
        <v>75</v>
      </c>
      <c r="D736" s="159" t="s">
        <v>86</v>
      </c>
      <c r="E736" s="187" t="s">
        <v>285</v>
      </c>
      <c r="F736" s="160"/>
      <c r="G736" s="493"/>
      <c r="H736" s="2"/>
    </row>
    <row r="737" spans="1:29" ht="15" customHeight="1">
      <c r="A737" s="168" t="s">
        <v>643</v>
      </c>
      <c r="B737" s="169" t="s">
        <v>1415</v>
      </c>
      <c r="C737" s="159" t="s">
        <v>75</v>
      </c>
      <c r="D737" s="159" t="s">
        <v>86</v>
      </c>
      <c r="E737" s="187" t="s">
        <v>285</v>
      </c>
      <c r="F737" s="2"/>
      <c r="G737" s="187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5" t="s">
        <v>644</v>
      </c>
      <c r="B738" s="164" t="s">
        <v>1866</v>
      </c>
      <c r="C738" s="159" t="s">
        <v>75</v>
      </c>
      <c r="D738" s="159" t="s">
        <v>86</v>
      </c>
      <c r="E738" s="187" t="s">
        <v>285</v>
      </c>
      <c r="F738" s="2"/>
      <c r="G738" s="187" t="e">
        <f>+VLOOKUP(Table_1[[#This Row],[Account]],BV_Data_An_Cour!$L:$Q,6,0)</f>
        <v>#N/A</v>
      </c>
      <c r="H738" s="2"/>
    </row>
    <row r="739" spans="1:29" ht="15" customHeight="1">
      <c r="A739" s="162" t="s">
        <v>2055</v>
      </c>
      <c r="B739" s="163" t="s">
        <v>2054</v>
      </c>
      <c r="C739" s="159" t="s">
        <v>75</v>
      </c>
      <c r="D739" s="468" t="s">
        <v>86</v>
      </c>
      <c r="E739" s="187" t="s">
        <v>285</v>
      </c>
      <c r="F739" s="2"/>
      <c r="G739" s="187" t="s">
        <v>2014</v>
      </c>
      <c r="H739" s="2"/>
    </row>
    <row r="740" spans="1:29" ht="15" customHeight="1">
      <c r="A740" s="162" t="s">
        <v>2367</v>
      </c>
      <c r="B740" s="158" t="s">
        <v>2366</v>
      </c>
      <c r="C740" s="159" t="s">
        <v>75</v>
      </c>
      <c r="D740" s="159" t="s">
        <v>86</v>
      </c>
      <c r="E740" s="187" t="s">
        <v>285</v>
      </c>
      <c r="F740" s="160"/>
      <c r="G740" s="493"/>
      <c r="H740" s="2"/>
    </row>
    <row r="741" spans="1:29" ht="15" customHeight="1">
      <c r="A741" s="479" t="s">
        <v>2205</v>
      </c>
      <c r="B741" s="480" t="s">
        <v>2204</v>
      </c>
      <c r="C741" s="159" t="s">
        <v>75</v>
      </c>
      <c r="D741" s="159" t="s">
        <v>86</v>
      </c>
      <c r="E741" s="187" t="s">
        <v>285</v>
      </c>
      <c r="F741" s="160"/>
      <c r="G741" s="187" t="e">
        <f>+VLOOKUP(Table_1[[#This Row],[Account]],BV_Data_An_Cour!$L:$Q,6,0)</f>
        <v>#N/A</v>
      </c>
      <c r="H741" s="2"/>
    </row>
    <row r="742" spans="1:29" ht="15" customHeight="1">
      <c r="A742" s="474" t="s">
        <v>2148</v>
      </c>
      <c r="B742" s="733" t="s">
        <v>2147</v>
      </c>
      <c r="C742" s="159" t="s">
        <v>75</v>
      </c>
      <c r="D742" s="159" t="s">
        <v>86</v>
      </c>
      <c r="E742" s="187" t="s">
        <v>285</v>
      </c>
      <c r="F742" s="160"/>
      <c r="G742" s="187" t="e">
        <f>+VLOOKUP(Table_1[[#This Row],[Account]],BV_Data_An_Cour!$L:$Q,6,0)</f>
        <v>#N/A</v>
      </c>
      <c r="H742" s="2"/>
    </row>
    <row r="743" spans="1:29" ht="15" customHeight="1">
      <c r="A743" s="479" t="s">
        <v>1987</v>
      </c>
      <c r="B743" s="478" t="s">
        <v>1986</v>
      </c>
      <c r="C743" s="159" t="s">
        <v>75</v>
      </c>
      <c r="D743" s="159" t="s">
        <v>86</v>
      </c>
      <c r="E743" s="187" t="s">
        <v>285</v>
      </c>
      <c r="F743" s="2"/>
      <c r="G743" s="187" t="e">
        <f>+VLOOKUP(Table_1[[#This Row],[Account]],BV_Data_An_Cour!$L:$Q,6,0)</f>
        <v>#N/A</v>
      </c>
      <c r="H743" s="2"/>
    </row>
    <row r="744" spans="1:29" ht="15" customHeight="1">
      <c r="A744" s="479" t="s">
        <v>2884</v>
      </c>
      <c r="B744" s="480" t="s">
        <v>2880</v>
      </c>
      <c r="C744" s="159" t="s">
        <v>75</v>
      </c>
      <c r="D744" s="159" t="s">
        <v>86</v>
      </c>
      <c r="E744" s="187" t="s">
        <v>285</v>
      </c>
      <c r="F744" s="160"/>
      <c r="G744" s="493"/>
      <c r="H744" s="2"/>
    </row>
    <row r="745" spans="1:29" ht="15" customHeight="1">
      <c r="A745" s="168" t="s">
        <v>645</v>
      </c>
      <c r="B745" s="169" t="s">
        <v>1416</v>
      </c>
      <c r="C745" s="159" t="s">
        <v>75</v>
      </c>
      <c r="D745" s="159" t="s">
        <v>86</v>
      </c>
      <c r="E745" s="187" t="s">
        <v>285</v>
      </c>
      <c r="F745" s="2"/>
      <c r="G745" s="187" t="e">
        <f>+VLOOKUP(Table_1[[#This Row],[Account]],BV_Data_An_Cour!$L:$Q,6,0)</f>
        <v>#N/A</v>
      </c>
      <c r="H745" s="2"/>
      <c r="K745" s="2"/>
    </row>
    <row r="746" spans="1:29" ht="15" customHeight="1">
      <c r="A746" s="165" t="s">
        <v>2034</v>
      </c>
      <c r="B746" s="164" t="s">
        <v>2033</v>
      </c>
      <c r="C746" s="159" t="s">
        <v>75</v>
      </c>
      <c r="D746" s="468" t="s">
        <v>86</v>
      </c>
      <c r="E746" s="187" t="s">
        <v>285</v>
      </c>
      <c r="F746" s="2"/>
      <c r="G746" s="187" t="e">
        <f>+VLOOKUP(Table_1[[#This Row],[Account]],BV_Data_An_Cour!$L:$Q,6,0)</f>
        <v>#N/A</v>
      </c>
      <c r="H746" s="2"/>
    </row>
    <row r="747" spans="1:29" ht="15" customHeight="1">
      <c r="A747" s="476" t="s">
        <v>646</v>
      </c>
      <c r="B747" s="483" t="s">
        <v>1834</v>
      </c>
      <c r="C747" s="159" t="s">
        <v>75</v>
      </c>
      <c r="D747" s="159" t="s">
        <v>86</v>
      </c>
      <c r="E747" s="187" t="s">
        <v>285</v>
      </c>
      <c r="F747" s="2"/>
      <c r="G747" s="187" t="e">
        <f>+VLOOKUP(Table_1[[#This Row],[Account]],BV_Data_An_Cour!$L:$Q,6,0)</f>
        <v>#N/A</v>
      </c>
      <c r="H747" s="2"/>
    </row>
    <row r="748" spans="1:29" ht="15" customHeight="1">
      <c r="A748" s="168" t="s">
        <v>647</v>
      </c>
      <c r="B748" s="169" t="s">
        <v>1417</v>
      </c>
      <c r="C748" s="159" t="s">
        <v>75</v>
      </c>
      <c r="D748" s="159" t="s">
        <v>86</v>
      </c>
      <c r="E748" s="187" t="s">
        <v>285</v>
      </c>
      <c r="F748" s="2"/>
      <c r="G748" s="187" t="e">
        <f>+VLOOKUP(Table_1[[#This Row],[Account]],BV_Data_An_Cour!$L:$Q,6,0)</f>
        <v>#N/A</v>
      </c>
      <c r="H748" s="2"/>
    </row>
    <row r="749" spans="1:29" ht="15" customHeight="1">
      <c r="A749" s="168" t="s">
        <v>648</v>
      </c>
      <c r="B749" s="169" t="s">
        <v>1418</v>
      </c>
      <c r="C749" s="159" t="s">
        <v>75</v>
      </c>
      <c r="D749" s="159" t="s">
        <v>86</v>
      </c>
      <c r="E749" s="187" t="s">
        <v>285</v>
      </c>
      <c r="F749" s="2"/>
      <c r="G749" s="187" t="e">
        <f>+VLOOKUP(Table_1[[#This Row],[Account]],BV_Data_An_Cour!$L:$Q,6,0)</f>
        <v>#N/A</v>
      </c>
    </row>
    <row r="750" spans="1:29" ht="15" customHeight="1">
      <c r="A750" s="162" t="s">
        <v>2381</v>
      </c>
      <c r="B750" s="158" t="s">
        <v>2380</v>
      </c>
      <c r="C750" s="159" t="s">
        <v>75</v>
      </c>
      <c r="D750" s="159" t="s">
        <v>86</v>
      </c>
      <c r="E750" s="187" t="s">
        <v>285</v>
      </c>
      <c r="F750" s="160"/>
      <c r="G750" s="493"/>
    </row>
    <row r="751" spans="1:29" ht="15" customHeight="1">
      <c r="A751" s="157" t="s">
        <v>1420</v>
      </c>
      <c r="B751" s="158" t="s">
        <v>1419</v>
      </c>
      <c r="C751" s="159" t="s">
        <v>75</v>
      </c>
      <c r="D751" s="159" t="s">
        <v>86</v>
      </c>
      <c r="E751" s="187" t="s">
        <v>285</v>
      </c>
      <c r="F751" s="2"/>
      <c r="G751" s="187" t="e">
        <f>+VLOOKUP(Table_1[[#This Row],[Account]],BV_Data_An_Cour!$L:$Q,6,0)</f>
        <v>#N/A</v>
      </c>
      <c r="H751" s="2"/>
    </row>
    <row r="752" spans="1:29" ht="15" customHeight="1">
      <c r="A752" s="162" t="s">
        <v>2036</v>
      </c>
      <c r="B752" s="166" t="s">
        <v>2035</v>
      </c>
      <c r="C752" s="159" t="s">
        <v>75</v>
      </c>
      <c r="D752" s="468" t="s">
        <v>86</v>
      </c>
      <c r="E752" s="187" t="s">
        <v>285</v>
      </c>
      <c r="F752" s="2"/>
      <c r="G752" s="187" t="e">
        <f>+VLOOKUP(Table_1[[#This Row],[Account]],BV_Data_An_Cour!$L:$Q,6,0)</f>
        <v>#N/A</v>
      </c>
      <c r="H752" s="2"/>
    </row>
    <row r="753" spans="1:29" ht="15" customHeight="1">
      <c r="A753" s="479" t="s">
        <v>2369</v>
      </c>
      <c r="B753" s="158" t="s">
        <v>2368</v>
      </c>
      <c r="C753" s="159" t="s">
        <v>75</v>
      </c>
      <c r="D753" s="159" t="s">
        <v>86</v>
      </c>
      <c r="E753" s="187" t="s">
        <v>285</v>
      </c>
      <c r="F753" s="160"/>
      <c r="G753" s="493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9" t="s">
        <v>2877</v>
      </c>
      <c r="B754" s="176" t="s">
        <v>2875</v>
      </c>
      <c r="C754" s="159" t="s">
        <v>75</v>
      </c>
      <c r="D754" s="159" t="s">
        <v>87</v>
      </c>
      <c r="E754" s="493" t="s">
        <v>285</v>
      </c>
      <c r="F754" s="160"/>
      <c r="G754" s="49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2866</v>
      </c>
      <c r="B755" s="480" t="s">
        <v>2864</v>
      </c>
      <c r="C755" s="159" t="s">
        <v>75</v>
      </c>
      <c r="D755" s="159" t="s">
        <v>87</v>
      </c>
      <c r="E755" s="187" t="s">
        <v>285</v>
      </c>
      <c r="F755" s="160"/>
      <c r="G755" s="493"/>
      <c r="H755" s="2"/>
    </row>
    <row r="756" spans="1:29" ht="15" customHeight="1">
      <c r="A756" s="479" t="s">
        <v>2965</v>
      </c>
      <c r="B756" s="480" t="s">
        <v>2963</v>
      </c>
      <c r="C756" s="159" t="s">
        <v>75</v>
      </c>
      <c r="D756" s="159" t="s">
        <v>87</v>
      </c>
      <c r="E756" s="187" t="s">
        <v>285</v>
      </c>
      <c r="F756" s="160"/>
      <c r="G756" s="493"/>
      <c r="H756" s="2"/>
    </row>
    <row r="757" spans="1:29" ht="15" customHeight="1">
      <c r="A757" s="479" t="s">
        <v>855</v>
      </c>
      <c r="B757" s="163" t="s">
        <v>1691</v>
      </c>
      <c r="C757" s="159" t="s">
        <v>75</v>
      </c>
      <c r="D757" s="159" t="s">
        <v>1907</v>
      </c>
      <c r="E757" s="187" t="s">
        <v>285</v>
      </c>
      <c r="F757" s="2"/>
      <c r="G757" s="187" t="str">
        <f>+VLOOKUP(Table_1[[#This Row],[Account]],BV_Data_An_Cour!$L:$Q,6,0)</f>
        <v>7-Dépenses</v>
      </c>
      <c r="H757" s="2"/>
    </row>
    <row r="758" spans="1:29" ht="15" customHeight="1">
      <c r="A758" s="477" t="s">
        <v>812</v>
      </c>
      <c r="B758" s="481" t="s">
        <v>1632</v>
      </c>
      <c r="C758" s="159" t="s">
        <v>140</v>
      </c>
      <c r="D758" s="159" t="s">
        <v>1907</v>
      </c>
      <c r="E758" s="187" t="s">
        <v>285</v>
      </c>
      <c r="F758" s="2"/>
      <c r="G758" s="187" t="str">
        <f>+VLOOKUP(Table_1[[#This Row],[Account]],BV_Data_An_Cour!$L:$Q,6,0)</f>
        <v>7-Dépenses</v>
      </c>
      <c r="H758" s="2"/>
    </row>
    <row r="759" spans="1:29" ht="15" customHeight="1">
      <c r="A759" s="479" t="s">
        <v>826</v>
      </c>
      <c r="B759" s="478" t="s">
        <v>1668</v>
      </c>
      <c r="C759" s="159" t="s">
        <v>147</v>
      </c>
      <c r="D759" s="159" t="s">
        <v>1907</v>
      </c>
      <c r="E759" s="187" t="s">
        <v>285</v>
      </c>
      <c r="F759" s="2"/>
      <c r="G759" s="187" t="str">
        <f>+VLOOKUP(Table_1[[#This Row],[Account]],BV_Data_An_Cour!$L:$Q,6,0)</f>
        <v>7-Dépenses</v>
      </c>
      <c r="H759" s="187"/>
    </row>
    <row r="760" spans="1:29" ht="15" customHeight="1">
      <c r="A760" s="170" t="s">
        <v>829</v>
      </c>
      <c r="B760" s="171" t="s">
        <v>1662</v>
      </c>
      <c r="C760" s="159" t="s">
        <v>1893</v>
      </c>
      <c r="D760" s="159" t="s">
        <v>1907</v>
      </c>
      <c r="E760" s="187" t="s">
        <v>285</v>
      </c>
      <c r="F760" s="2"/>
      <c r="G760" s="187" t="str">
        <f>+VLOOKUP(Table_1[[#This Row],[Account]],BV_Data_An_Cour!$L:$Q,6,0)</f>
        <v>7-Dépenses</v>
      </c>
      <c r="H760" s="187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6" t="s">
        <v>779</v>
      </c>
      <c r="B761" s="483" t="s">
        <v>1616</v>
      </c>
      <c r="C761" s="159" t="s">
        <v>1894</v>
      </c>
      <c r="D761" s="159" t="s">
        <v>1907</v>
      </c>
      <c r="E761" s="187" t="s">
        <v>285</v>
      </c>
      <c r="F761" s="2"/>
      <c r="G761" s="187" t="e">
        <f>+VLOOKUP(Table_1[[#This Row],[Account]],BV_Data_An_Cour!$L:$Q,6,0)</f>
        <v>#N/A</v>
      </c>
      <c r="H761" s="187"/>
    </row>
    <row r="762" spans="1:29" ht="15" customHeight="1">
      <c r="A762" s="157" t="s">
        <v>649</v>
      </c>
      <c r="B762" s="158" t="s">
        <v>1019</v>
      </c>
      <c r="C762" s="159" t="s">
        <v>75</v>
      </c>
      <c r="D762" s="159" t="s">
        <v>86</v>
      </c>
      <c r="E762" s="187" t="s">
        <v>285</v>
      </c>
      <c r="F762" s="2"/>
      <c r="G762" s="187" t="e">
        <f>+VLOOKUP(Table_1[[#This Row],[Account]],BV_Data_An_Cour!$L:$Q,6,0)</f>
        <v>#N/A</v>
      </c>
      <c r="H762" s="187"/>
    </row>
    <row r="763" spans="1:29" ht="15" customHeight="1">
      <c r="A763" s="162" t="s">
        <v>2170</v>
      </c>
      <c r="B763" s="158" t="s">
        <v>2169</v>
      </c>
      <c r="C763" s="159" t="s">
        <v>75</v>
      </c>
      <c r="D763" s="159" t="s">
        <v>86</v>
      </c>
      <c r="E763" s="187" t="s">
        <v>285</v>
      </c>
      <c r="F763" s="160"/>
      <c r="G763" s="187" t="e">
        <f>+VLOOKUP(Table_1[[#This Row],[Account]],BV_Data_An_Cour!$L:$Q,6,0)</f>
        <v>#N/A</v>
      </c>
      <c r="H763" s="187"/>
    </row>
    <row r="764" spans="1:29" ht="15" customHeight="1">
      <c r="A764" s="162" t="s">
        <v>1868</v>
      </c>
      <c r="B764" s="163" t="s">
        <v>1867</v>
      </c>
      <c r="C764" s="159" t="s">
        <v>75</v>
      </c>
      <c r="D764" s="159" t="s">
        <v>86</v>
      </c>
      <c r="E764" s="187" t="s">
        <v>285</v>
      </c>
      <c r="F764" s="2"/>
      <c r="G764" s="187" t="e">
        <f>+VLOOKUP(Table_1[[#This Row],[Account]],BV_Data_An_Cour!$L:$Q,6,0)</f>
        <v>#N/A</v>
      </c>
      <c r="H764" s="187"/>
    </row>
    <row r="765" spans="1:29" ht="15" customHeight="1">
      <c r="A765" s="474" t="s">
        <v>1926</v>
      </c>
      <c r="B765" s="482" t="s">
        <v>1924</v>
      </c>
      <c r="C765" s="159" t="s">
        <v>75</v>
      </c>
      <c r="D765" s="159" t="s">
        <v>86</v>
      </c>
      <c r="E765" s="187" t="s">
        <v>285</v>
      </c>
      <c r="F765" s="2"/>
      <c r="G765" s="187" t="e">
        <f>+VLOOKUP(Table_1[[#This Row],[Account]],BV_Data_An_Cour!$L:$Q,6,0)</f>
        <v>#N/A</v>
      </c>
      <c r="H765" s="187"/>
    </row>
    <row r="766" spans="1:29" ht="15" customHeight="1">
      <c r="A766" s="162" t="s">
        <v>2498</v>
      </c>
      <c r="B766" s="158" t="s">
        <v>2497</v>
      </c>
      <c r="C766" s="159" t="s">
        <v>75</v>
      </c>
      <c r="D766" s="159" t="s">
        <v>86</v>
      </c>
      <c r="E766" s="187" t="s">
        <v>285</v>
      </c>
      <c r="F766" s="160"/>
      <c r="G766" s="493"/>
      <c r="H766" s="187"/>
    </row>
    <row r="767" spans="1:29" ht="15" customHeight="1">
      <c r="A767" s="162" t="s">
        <v>1980</v>
      </c>
      <c r="B767" s="163" t="s">
        <v>1978</v>
      </c>
      <c r="C767" s="159" t="s">
        <v>75</v>
      </c>
      <c r="D767" s="159" t="s">
        <v>86</v>
      </c>
      <c r="E767" s="187" t="s">
        <v>285</v>
      </c>
      <c r="F767" s="2"/>
      <c r="G767" s="187" t="s">
        <v>2006</v>
      </c>
      <c r="H767" s="187"/>
    </row>
    <row r="768" spans="1:29" ht="15" customHeight="1">
      <c r="A768" s="157" t="s">
        <v>996</v>
      </c>
      <c r="B768" s="158" t="s">
        <v>1421</v>
      </c>
      <c r="C768" s="159" t="s">
        <v>75</v>
      </c>
      <c r="D768" s="159" t="s">
        <v>86</v>
      </c>
      <c r="E768" s="187" t="s">
        <v>285</v>
      </c>
      <c r="F768" s="2"/>
      <c r="G768" s="187" t="e">
        <f>+VLOOKUP(Table_1[[#This Row],[Account]],BV_Data_An_Cour!$L:$Q,6,0)</f>
        <v>#N/A</v>
      </c>
      <c r="H768" s="187"/>
    </row>
    <row r="769" spans="1:8" ht="15" customHeight="1">
      <c r="A769" s="165" t="s">
        <v>650</v>
      </c>
      <c r="B769" s="164" t="s">
        <v>1869</v>
      </c>
      <c r="C769" s="159" t="s">
        <v>75</v>
      </c>
      <c r="D769" s="159" t="s">
        <v>86</v>
      </c>
      <c r="E769" s="187" t="s">
        <v>285</v>
      </c>
      <c r="F769" s="2"/>
      <c r="G769" s="187" t="e">
        <f>+VLOOKUP(Table_1[[#This Row],[Account]],BV_Data_An_Cour!$L:$Q,6,0)</f>
        <v>#N/A</v>
      </c>
      <c r="H769" s="187"/>
    </row>
    <row r="770" spans="1:8" ht="15" customHeight="1">
      <c r="A770" s="162" t="s">
        <v>1423</v>
      </c>
      <c r="B770" s="163" t="s">
        <v>1422</v>
      </c>
      <c r="C770" s="159" t="s">
        <v>75</v>
      </c>
      <c r="D770" s="159" t="s">
        <v>86</v>
      </c>
      <c r="E770" s="187" t="s">
        <v>285</v>
      </c>
      <c r="F770" s="2"/>
      <c r="G770" s="187" t="e">
        <f>+VLOOKUP(Table_1[[#This Row],[Account]],BV_Data_An_Cour!$L:$Q,6,0)</f>
        <v>#N/A</v>
      </c>
      <c r="H770" s="187"/>
    </row>
    <row r="771" spans="1:8" ht="15" customHeight="1">
      <c r="A771" s="479" t="s">
        <v>2915</v>
      </c>
      <c r="B771" s="480" t="s">
        <v>2914</v>
      </c>
      <c r="C771" s="159" t="s">
        <v>75</v>
      </c>
      <c r="D771" s="159" t="s">
        <v>86</v>
      </c>
      <c r="E771" s="187" t="s">
        <v>285</v>
      </c>
      <c r="F771" s="160"/>
      <c r="G771" s="493"/>
      <c r="H771" s="187"/>
    </row>
    <row r="772" spans="1:8" ht="15" customHeight="1">
      <c r="A772" s="479" t="s">
        <v>2886</v>
      </c>
      <c r="B772" s="158" t="s">
        <v>2885</v>
      </c>
      <c r="C772" s="159" t="s">
        <v>75</v>
      </c>
      <c r="D772" s="159" t="s">
        <v>86</v>
      </c>
      <c r="E772" s="187" t="s">
        <v>285</v>
      </c>
      <c r="F772" s="160"/>
      <c r="G772" s="493"/>
      <c r="H772" s="2"/>
    </row>
    <row r="773" spans="1:8" ht="15" customHeight="1">
      <c r="A773" s="479" t="s">
        <v>2500</v>
      </c>
      <c r="B773" s="480" t="s">
        <v>2499</v>
      </c>
      <c r="C773" s="159" t="s">
        <v>75</v>
      </c>
      <c r="D773" s="159" t="s">
        <v>86</v>
      </c>
      <c r="E773" s="187" t="s">
        <v>285</v>
      </c>
      <c r="F773" s="2"/>
      <c r="G773" s="187"/>
      <c r="H773" s="2"/>
    </row>
    <row r="774" spans="1:8" ht="15" customHeight="1">
      <c r="A774" s="479" t="s">
        <v>2976</v>
      </c>
      <c r="B774" s="175" t="s">
        <v>2975</v>
      </c>
      <c r="C774" s="159" t="s">
        <v>75</v>
      </c>
      <c r="D774" s="159" t="s">
        <v>86</v>
      </c>
      <c r="E774" s="493" t="s">
        <v>285</v>
      </c>
      <c r="F774" s="160"/>
      <c r="G774" s="493"/>
      <c r="H774" s="2"/>
    </row>
    <row r="775" spans="1:8" ht="15" customHeight="1">
      <c r="A775" s="479" t="s">
        <v>979</v>
      </c>
      <c r="B775" s="478" t="s">
        <v>1842</v>
      </c>
      <c r="C775" s="159" t="s">
        <v>75</v>
      </c>
      <c r="D775" s="159" t="s">
        <v>87</v>
      </c>
      <c r="E775" s="187" t="s">
        <v>285</v>
      </c>
      <c r="F775" s="2"/>
      <c r="G775" s="187" t="str">
        <f>+VLOOKUP(Table_1[[#This Row],[Account]],BV_Data_An_Cour!$L:$Q,6,0)</f>
        <v>6-Coût des ventes</v>
      </c>
      <c r="H775" s="2"/>
    </row>
    <row r="776" spans="1:8" ht="15" customHeight="1">
      <c r="A776" s="479" t="s">
        <v>2531</v>
      </c>
      <c r="B776" s="480" t="s">
        <v>2530</v>
      </c>
      <c r="C776" s="159" t="s">
        <v>75</v>
      </c>
      <c r="D776" s="159" t="s">
        <v>87</v>
      </c>
      <c r="E776" s="187" t="s">
        <v>285</v>
      </c>
      <c r="F776" s="160"/>
      <c r="G776" s="493"/>
      <c r="H776" s="2"/>
    </row>
    <row r="777" spans="1:8" ht="15" customHeight="1">
      <c r="A777" s="170" t="s">
        <v>426</v>
      </c>
      <c r="B777" s="171" t="s">
        <v>1104</v>
      </c>
      <c r="C777" s="159" t="s">
        <v>75</v>
      </c>
      <c r="D777" s="159" t="s">
        <v>1910</v>
      </c>
      <c r="E777" s="187" t="s">
        <v>285</v>
      </c>
      <c r="F777" s="2"/>
      <c r="G777" s="187" t="str">
        <f>+VLOOKUP(Table_1[[#This Row],[Account]],BV_Data_An_Cour!$L:$Q,6,0)</f>
        <v>6-Coût des ventes</v>
      </c>
      <c r="H777" s="2"/>
    </row>
    <row r="778" spans="1:8" ht="15" customHeight="1">
      <c r="A778" s="479" t="s">
        <v>652</v>
      </c>
      <c r="B778" s="478" t="s">
        <v>651</v>
      </c>
      <c r="C778" s="159" t="s">
        <v>75</v>
      </c>
      <c r="D778" s="159" t="s">
        <v>87</v>
      </c>
      <c r="E778" s="187" t="s">
        <v>285</v>
      </c>
      <c r="F778" s="2"/>
      <c r="G778" s="187" t="e">
        <f>+VLOOKUP(Table_1[[#This Row],[Account]],BV_Data_An_Cour!$L:$Q,6,0)</f>
        <v>#N/A</v>
      </c>
      <c r="H778" s="2"/>
    </row>
    <row r="779" spans="1:8" ht="15" customHeight="1">
      <c r="A779" s="170" t="s">
        <v>653</v>
      </c>
      <c r="B779" s="171" t="s">
        <v>1424</v>
      </c>
      <c r="C779" s="159" t="s">
        <v>75</v>
      </c>
      <c r="D779" s="159" t="s">
        <v>87</v>
      </c>
      <c r="E779" s="187" t="s">
        <v>285</v>
      </c>
      <c r="F779" s="2"/>
      <c r="G779" s="187" t="e">
        <f>+VLOOKUP(Table_1[[#This Row],[Account]],BV_Data_An_Cour!$L:$Q,6,0)</f>
        <v>#N/A</v>
      </c>
      <c r="H779" s="2"/>
    </row>
    <row r="780" spans="1:8" ht="15" customHeight="1">
      <c r="A780" s="479" t="s">
        <v>654</v>
      </c>
      <c r="B780" s="478" t="s">
        <v>1837</v>
      </c>
      <c r="C780" s="159" t="s">
        <v>75</v>
      </c>
      <c r="D780" s="159" t="s">
        <v>91</v>
      </c>
      <c r="E780" s="187" t="s">
        <v>285</v>
      </c>
      <c r="F780" s="2"/>
      <c r="G780" s="187" t="e">
        <f>+VLOOKUP(Table_1[[#This Row],[Account]],BV_Data_An_Cour!$L:$Q,6,0)</f>
        <v>#N/A</v>
      </c>
      <c r="H780" s="2"/>
    </row>
    <row r="781" spans="1:8" ht="15" customHeight="1">
      <c r="A781" s="165" t="s">
        <v>980</v>
      </c>
      <c r="B781" s="164" t="s">
        <v>1608</v>
      </c>
      <c r="C781" s="159" t="s">
        <v>75</v>
      </c>
      <c r="D781" s="159" t="s">
        <v>91</v>
      </c>
      <c r="E781" s="187" t="s">
        <v>285</v>
      </c>
      <c r="F781" s="2"/>
      <c r="G781" s="187" t="e">
        <f>+VLOOKUP(Table_1[[#This Row],[Account]],BV_Data_An_Cour!$L:$Q,6,0)</f>
        <v>#N/A</v>
      </c>
      <c r="H781" s="2"/>
    </row>
    <row r="782" spans="1:8" ht="15" customHeight="1">
      <c r="A782" s="162" t="s">
        <v>971</v>
      </c>
      <c r="B782" s="163" t="s">
        <v>1425</v>
      </c>
      <c r="C782" s="159" t="s">
        <v>75</v>
      </c>
      <c r="D782" s="159" t="s">
        <v>92</v>
      </c>
      <c r="E782" s="187" t="s">
        <v>285</v>
      </c>
      <c r="F782" s="2"/>
      <c r="G782" s="187" t="str">
        <f>+VLOOKUP(Table_1[[#This Row],[Account]],BV_Data_An_Cour!$L:$Q,6,0)</f>
        <v>6-Coût des ventes</v>
      </c>
      <c r="H782" s="187"/>
    </row>
    <row r="783" spans="1:8" ht="15" customHeight="1">
      <c r="A783" s="479" t="s">
        <v>977</v>
      </c>
      <c r="B783" s="478" t="s">
        <v>1426</v>
      </c>
      <c r="C783" s="159" t="s">
        <v>75</v>
      </c>
      <c r="D783" s="159" t="s">
        <v>92</v>
      </c>
      <c r="E783" s="187" t="s">
        <v>285</v>
      </c>
      <c r="F783" s="2"/>
      <c r="G783" s="187" t="str">
        <f>+VLOOKUP(Table_1[[#This Row],[Account]],BV_Data_An_Cour!$L:$Q,6,0)</f>
        <v>6-Coût des ventes</v>
      </c>
      <c r="H783" s="187"/>
    </row>
    <row r="784" spans="1:8" ht="15" customHeight="1">
      <c r="A784" s="170" t="s">
        <v>682</v>
      </c>
      <c r="B784" s="171" t="s">
        <v>1454</v>
      </c>
      <c r="C784" s="159" t="s">
        <v>75</v>
      </c>
      <c r="D784" s="159" t="s">
        <v>1906</v>
      </c>
      <c r="E784" s="187" t="s">
        <v>285</v>
      </c>
      <c r="G784" s="187" t="str">
        <f>+VLOOKUP(Table_1[[#This Row],[Account]],BV_Data_An_Cour!$L:$Q,6,0)</f>
        <v>7-Dépenses</v>
      </c>
      <c r="H784" s="187"/>
    </row>
    <row r="785" spans="1:8" ht="15" customHeight="1">
      <c r="A785" s="477" t="s">
        <v>683</v>
      </c>
      <c r="B785" s="481" t="s">
        <v>1455</v>
      </c>
      <c r="C785" s="159" t="s">
        <v>140</v>
      </c>
      <c r="D785" s="159" t="s">
        <v>1906</v>
      </c>
      <c r="E785" s="187" t="s">
        <v>285</v>
      </c>
      <c r="G785" s="187" t="str">
        <f>+VLOOKUP(Table_1[[#This Row],[Account]],BV_Data_An_Cour!$L:$Q,6,0)</f>
        <v>7-Dépenses</v>
      </c>
      <c r="H785" s="187"/>
    </row>
    <row r="786" spans="1:8" ht="15" customHeight="1">
      <c r="A786" s="479" t="s">
        <v>791</v>
      </c>
      <c r="B786" s="478" t="s">
        <v>1724</v>
      </c>
      <c r="C786" s="159" t="s">
        <v>147</v>
      </c>
      <c r="D786" s="159" t="s">
        <v>1906</v>
      </c>
      <c r="E786" s="187" t="s">
        <v>285</v>
      </c>
      <c r="F786" s="2"/>
      <c r="G786" s="187" t="str">
        <f>+VLOOKUP(Table_1[[#This Row],[Account]],BV_Data_An_Cour!$L:$Q,6,0)</f>
        <v>7-Dépenses</v>
      </c>
      <c r="H786" s="187"/>
    </row>
    <row r="787" spans="1:8" ht="15" customHeight="1">
      <c r="A787" s="170" t="s">
        <v>684</v>
      </c>
      <c r="B787" s="171" t="s">
        <v>1456</v>
      </c>
      <c r="C787" s="159" t="s">
        <v>1893</v>
      </c>
      <c r="D787" s="159" t="s">
        <v>1906</v>
      </c>
      <c r="E787" s="187" t="s">
        <v>285</v>
      </c>
      <c r="F787" s="2"/>
      <c r="G787" s="187" t="str">
        <f>+VLOOKUP(Table_1[[#This Row],[Account]],BV_Data_An_Cour!$L:$Q,6,0)</f>
        <v>7-Dépenses</v>
      </c>
      <c r="H787" s="187"/>
    </row>
    <row r="788" spans="1:8" ht="15" customHeight="1">
      <c r="A788" s="477" t="s">
        <v>685</v>
      </c>
      <c r="B788" s="481" t="s">
        <v>1457</v>
      </c>
      <c r="C788" s="159" t="s">
        <v>1894</v>
      </c>
      <c r="D788" s="159" t="s">
        <v>1906</v>
      </c>
      <c r="E788" s="187" t="s">
        <v>285</v>
      </c>
      <c r="G788" s="187" t="e">
        <f>+VLOOKUP(Table_1[[#This Row],[Account]],BV_Data_An_Cour!$L:$Q,6,0)</f>
        <v>#N/A</v>
      </c>
      <c r="H788" s="187"/>
    </row>
    <row r="789" spans="1:8" ht="15" customHeight="1">
      <c r="A789" s="479" t="s">
        <v>1459</v>
      </c>
      <c r="B789" s="478" t="s">
        <v>1458</v>
      </c>
      <c r="C789" s="159" t="s">
        <v>185</v>
      </c>
      <c r="D789" s="159" t="s">
        <v>244</v>
      </c>
      <c r="E789" s="187" t="s">
        <v>285</v>
      </c>
      <c r="F789" s="187"/>
      <c r="G789" s="187" t="e">
        <f>+VLOOKUP(Table_1[[#This Row],[Account]],BV_Data_An_Cour!$L:$Q,6,0)</f>
        <v>#N/A</v>
      </c>
      <c r="H789" s="187"/>
    </row>
    <row r="790" spans="1:8" ht="15" customHeight="1">
      <c r="A790" s="479" t="s">
        <v>2099</v>
      </c>
      <c r="B790" s="478" t="s">
        <v>2100</v>
      </c>
      <c r="C790" s="159" t="s">
        <v>75</v>
      </c>
      <c r="D790" s="159" t="s">
        <v>86</v>
      </c>
      <c r="E790" s="187" t="s">
        <v>285</v>
      </c>
      <c r="F790" s="2"/>
      <c r="G790" s="187" t="e">
        <f>+VLOOKUP(Table_1[[#This Row],[Account]],BV_Data_An_Cour!$L:$Q,6,0)</f>
        <v>#N/A</v>
      </c>
      <c r="H790" s="187"/>
    </row>
    <row r="791" spans="1:8" ht="15" customHeight="1">
      <c r="A791" s="478" t="s">
        <v>2120</v>
      </c>
      <c r="B791" s="478" t="s">
        <v>2119</v>
      </c>
      <c r="C791" s="159" t="s">
        <v>75</v>
      </c>
      <c r="D791" s="159" t="s">
        <v>86</v>
      </c>
      <c r="E791" s="187" t="s">
        <v>285</v>
      </c>
      <c r="F791" s="2"/>
      <c r="G791" s="187" t="e">
        <f>+VLOOKUP(Table_1[[#This Row],[Account]],BV_Data_An_Cour!$L:$Q,6,0)</f>
        <v>#N/A</v>
      </c>
      <c r="H791" s="187"/>
    </row>
    <row r="792" spans="1:8" ht="15" customHeight="1">
      <c r="A792" s="165" t="s">
        <v>976</v>
      </c>
      <c r="B792" s="164" t="s">
        <v>1427</v>
      </c>
      <c r="C792" s="159" t="s">
        <v>75</v>
      </c>
      <c r="D792" s="159" t="s">
        <v>87</v>
      </c>
      <c r="E792" s="187" t="s">
        <v>285</v>
      </c>
      <c r="F792" s="2"/>
      <c r="G792" s="187" t="e">
        <f>+VLOOKUP(Table_1[[#This Row],[Account]],BV_Data_An_Cour!$L:$Q,6,0)</f>
        <v>#N/A</v>
      </c>
      <c r="H792" s="187"/>
    </row>
    <row r="793" spans="1:8" ht="15" customHeight="1">
      <c r="A793" s="479" t="s">
        <v>2392</v>
      </c>
      <c r="B793" s="480" t="s">
        <v>2391</v>
      </c>
      <c r="C793" s="159" t="s">
        <v>75</v>
      </c>
      <c r="D793" s="159" t="s">
        <v>87</v>
      </c>
      <c r="E793" s="493" t="s">
        <v>285</v>
      </c>
      <c r="F793" s="160"/>
      <c r="G793" s="493"/>
      <c r="H793" s="187"/>
    </row>
    <row r="794" spans="1:8" ht="15" customHeight="1">
      <c r="A794" s="479" t="s">
        <v>2552</v>
      </c>
      <c r="B794" s="480" t="s">
        <v>2551</v>
      </c>
      <c r="C794" s="159" t="s">
        <v>75</v>
      </c>
      <c r="D794" s="159" t="s">
        <v>87</v>
      </c>
      <c r="E794" s="187" t="s">
        <v>285</v>
      </c>
      <c r="F794" s="160"/>
      <c r="G794" s="493"/>
      <c r="H794" s="187"/>
    </row>
    <row r="795" spans="1:8" ht="15" customHeight="1">
      <c r="A795" s="479" t="s">
        <v>983</v>
      </c>
      <c r="B795" s="478" t="s">
        <v>1066</v>
      </c>
      <c r="C795" s="159" t="s">
        <v>75</v>
      </c>
      <c r="D795" s="159" t="s">
        <v>87</v>
      </c>
      <c r="E795" s="187" t="s">
        <v>285</v>
      </c>
      <c r="F795" s="2"/>
      <c r="G795" s="187" t="e">
        <f>+VLOOKUP(Table_1[[#This Row],[Account]],BV_Data_An_Cour!$L:$Q,6,0)</f>
        <v>#N/A</v>
      </c>
      <c r="H795" s="187"/>
    </row>
    <row r="796" spans="1:8" ht="15" customHeight="1">
      <c r="A796" s="165" t="s">
        <v>655</v>
      </c>
      <c r="B796" s="164" t="s">
        <v>1428</v>
      </c>
      <c r="C796" s="159" t="s">
        <v>75</v>
      </c>
      <c r="D796" s="159" t="s">
        <v>87</v>
      </c>
      <c r="E796" s="187" t="s">
        <v>285</v>
      </c>
      <c r="F796" s="2"/>
      <c r="G796" s="187" t="e">
        <f>+VLOOKUP(Table_1[[#This Row],[Account]],BV_Data_An_Cour!$L:$Q,6,0)</f>
        <v>#N/A</v>
      </c>
      <c r="H796" s="187"/>
    </row>
    <row r="797" spans="1:8" ht="15" customHeight="1">
      <c r="A797" s="479" t="s">
        <v>656</v>
      </c>
      <c r="B797" s="478" t="s">
        <v>1848</v>
      </c>
      <c r="C797" s="159" t="s">
        <v>75</v>
      </c>
      <c r="D797" s="159" t="s">
        <v>87</v>
      </c>
      <c r="E797" s="187" t="s">
        <v>285</v>
      </c>
      <c r="F797" s="2"/>
      <c r="G797" s="187" t="e">
        <f>+VLOOKUP(Table_1[[#This Row],[Account]],BV_Data_An_Cour!$L:$Q,6,0)</f>
        <v>#N/A</v>
      </c>
      <c r="H797" s="187"/>
    </row>
    <row r="798" spans="1:8" ht="15" customHeight="1">
      <c r="A798" s="165" t="s">
        <v>2038</v>
      </c>
      <c r="B798" s="164" t="s">
        <v>2037</v>
      </c>
      <c r="C798" s="159" t="s">
        <v>75</v>
      </c>
      <c r="D798" s="159" t="s">
        <v>87</v>
      </c>
      <c r="E798" s="187" t="s">
        <v>285</v>
      </c>
      <c r="F798" s="2"/>
      <c r="G798" s="187" t="e">
        <f>+VLOOKUP(Table_1[[#This Row],[Account]],BV_Data_An_Cour!$L:$Q,6,0)</f>
        <v>#N/A</v>
      </c>
      <c r="H798" s="187"/>
    </row>
    <row r="799" spans="1:8" ht="15" customHeight="1">
      <c r="A799" s="479" t="s">
        <v>2488</v>
      </c>
      <c r="B799" s="480" t="s">
        <v>2487</v>
      </c>
      <c r="C799" s="159" t="s">
        <v>75</v>
      </c>
      <c r="D799" s="159" t="s">
        <v>87</v>
      </c>
      <c r="E799" s="187" t="s">
        <v>285</v>
      </c>
      <c r="F799" s="2"/>
      <c r="G799" s="187"/>
      <c r="H799" s="187"/>
    </row>
    <row r="800" spans="1:8" ht="15" customHeight="1">
      <c r="A800" s="479" t="s">
        <v>657</v>
      </c>
      <c r="B800" s="478" t="s">
        <v>1429</v>
      </c>
      <c r="C800" s="159" t="s">
        <v>75</v>
      </c>
      <c r="D800" s="159" t="s">
        <v>87</v>
      </c>
      <c r="E800" s="187" t="s">
        <v>285</v>
      </c>
      <c r="F800" s="2"/>
      <c r="G800" s="187" t="e">
        <f>+VLOOKUP(Table_1[[#This Row],[Account]],BV_Data_An_Cour!$L:$Q,6,0)</f>
        <v>#N/A</v>
      </c>
      <c r="H800" s="187"/>
    </row>
    <row r="801" spans="1:29" ht="15" customHeight="1">
      <c r="A801" s="479" t="s">
        <v>2222</v>
      </c>
      <c r="B801" s="480" t="s">
        <v>2221</v>
      </c>
      <c r="C801" s="159" t="s">
        <v>75</v>
      </c>
      <c r="D801" s="159" t="s">
        <v>87</v>
      </c>
      <c r="E801" s="187" t="s">
        <v>285</v>
      </c>
      <c r="F801" s="160"/>
      <c r="G801" s="493"/>
      <c r="H801" s="187"/>
    </row>
    <row r="802" spans="1:29" ht="15" customHeight="1">
      <c r="A802" s="475" t="s">
        <v>998</v>
      </c>
      <c r="B802" s="480" t="s">
        <v>997</v>
      </c>
      <c r="C802" s="159" t="s">
        <v>75</v>
      </c>
      <c r="D802" s="159" t="s">
        <v>86</v>
      </c>
      <c r="E802" s="187" t="s">
        <v>285</v>
      </c>
      <c r="F802" s="2"/>
      <c r="G802" s="187" t="e">
        <f>+VLOOKUP(Table_1[[#This Row],[Account]],BV_Data_An_Cour!$L:$Q,6,0)</f>
        <v>#N/A</v>
      </c>
      <c r="H802" s="187"/>
    </row>
    <row r="803" spans="1:29" ht="15" customHeight="1">
      <c r="A803" s="479" t="s">
        <v>2533</v>
      </c>
      <c r="B803" s="480" t="s">
        <v>2532</v>
      </c>
      <c r="C803" s="159" t="s">
        <v>75</v>
      </c>
      <c r="D803" s="159" t="s">
        <v>86</v>
      </c>
      <c r="E803" s="187" t="s">
        <v>285</v>
      </c>
      <c r="F803" s="160"/>
      <c r="G803" s="493"/>
      <c r="H803" s="187"/>
    </row>
    <row r="804" spans="1:29" ht="15" customHeight="1">
      <c r="A804" s="479" t="s">
        <v>658</v>
      </c>
      <c r="B804" s="478" t="s">
        <v>620</v>
      </c>
      <c r="C804" s="159" t="s">
        <v>75</v>
      </c>
      <c r="D804" s="159" t="s">
        <v>87</v>
      </c>
      <c r="E804" s="187" t="s">
        <v>285</v>
      </c>
      <c r="F804" s="2"/>
      <c r="G804" s="187" t="e">
        <f>+VLOOKUP(Table_1[[#This Row],[Account]],BV_Data_An_Cour!$L:$Q,6,0)</f>
        <v>#N/A</v>
      </c>
      <c r="H804" s="187"/>
      <c r="K804" s="2"/>
    </row>
    <row r="805" spans="1:29" ht="15" customHeight="1">
      <c r="A805" s="165" t="s">
        <v>2016</v>
      </c>
      <c r="B805" s="164" t="s">
        <v>2015</v>
      </c>
      <c r="C805" s="159" t="s">
        <v>75</v>
      </c>
      <c r="D805" s="159" t="s">
        <v>86</v>
      </c>
      <c r="E805" s="187" t="s">
        <v>285</v>
      </c>
      <c r="F805" s="2"/>
      <c r="G805" s="187" t="s">
        <v>2014</v>
      </c>
      <c r="H805" s="187"/>
      <c r="K805" s="2"/>
    </row>
    <row r="806" spans="1:29" ht="15" customHeight="1">
      <c r="A806" s="479" t="s">
        <v>659</v>
      </c>
      <c r="B806" s="164" t="s">
        <v>1870</v>
      </c>
      <c r="C806" s="159" t="s">
        <v>75</v>
      </c>
      <c r="D806" s="159" t="s">
        <v>86</v>
      </c>
      <c r="E806" s="187" t="s">
        <v>285</v>
      </c>
      <c r="F806" s="2"/>
      <c r="G806" s="187" t="e">
        <f>+VLOOKUP(Table_1[[#This Row],[Account]],BV_Data_An_Cour!$L:$Q,6,0)</f>
        <v>#N/A</v>
      </c>
      <c r="H806" s="187"/>
    </row>
    <row r="807" spans="1:29" ht="15" customHeight="1">
      <c r="A807" s="481" t="s">
        <v>661</v>
      </c>
      <c r="B807" s="481" t="s">
        <v>660</v>
      </c>
      <c r="C807" s="159" t="s">
        <v>75</v>
      </c>
      <c r="D807" s="159" t="s">
        <v>87</v>
      </c>
      <c r="E807" s="187" t="s">
        <v>285</v>
      </c>
      <c r="F807" s="2"/>
      <c r="G807" s="187" t="str">
        <f>+VLOOKUP(Table_1[[#This Row],[Account]],BV_Data_An_Cour!$L:$Q,6,0)</f>
        <v>6-Coût des ventes</v>
      </c>
      <c r="H807" s="187"/>
    </row>
    <row r="808" spans="1:29" ht="15" customHeight="1">
      <c r="A808" s="479" t="s">
        <v>662</v>
      </c>
      <c r="B808" s="478" t="s">
        <v>1839</v>
      </c>
      <c r="C808" s="159" t="s">
        <v>75</v>
      </c>
      <c r="D808" s="159" t="s">
        <v>87</v>
      </c>
      <c r="E808" s="187" t="s">
        <v>285</v>
      </c>
      <c r="F808" s="2"/>
      <c r="G808" s="187" t="s">
        <v>2014</v>
      </c>
      <c r="H808" s="187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749" t="s">
        <v>2069</v>
      </c>
      <c r="B809" s="751" t="s">
        <v>2068</v>
      </c>
      <c r="C809" s="159" t="s">
        <v>75</v>
      </c>
      <c r="D809" s="159" t="s">
        <v>87</v>
      </c>
      <c r="E809" s="187" t="s">
        <v>285</v>
      </c>
      <c r="F809" s="2"/>
      <c r="G809" s="187" t="e">
        <f>+VLOOKUP(Table_1[[#This Row],[Account]],BV_Data_An_Cour!$L:$Q,6,0)</f>
        <v>#N/A</v>
      </c>
      <c r="H809" s="187"/>
    </row>
    <row r="810" spans="1:29" ht="15" customHeight="1">
      <c r="A810" s="165" t="s">
        <v>981</v>
      </c>
      <c r="B810" s="164" t="s">
        <v>1028</v>
      </c>
      <c r="C810" s="159" t="s">
        <v>75</v>
      </c>
      <c r="D810" s="159" t="s">
        <v>87</v>
      </c>
      <c r="E810" s="187" t="s">
        <v>285</v>
      </c>
      <c r="F810" s="2"/>
      <c r="G810" s="187" t="str">
        <f>+VLOOKUP(Table_1[[#This Row],[Account]],BV_Data_An_Cour!$L:$Q,6,0)</f>
        <v>6-Coût des ventes</v>
      </c>
      <c r="H810" s="187"/>
    </row>
    <row r="811" spans="1:29" ht="15" customHeight="1">
      <c r="A811" s="162" t="s">
        <v>373</v>
      </c>
      <c r="B811" s="164" t="s">
        <v>1871</v>
      </c>
      <c r="C811" s="159" t="s">
        <v>75</v>
      </c>
      <c r="D811" s="468" t="s">
        <v>86</v>
      </c>
      <c r="E811" s="187" t="s">
        <v>285</v>
      </c>
      <c r="F811" s="2"/>
      <c r="G811" s="187" t="str">
        <f>+VLOOKUP(Table_1[[#This Row],[Account]],BV_Data_An_Cour!$L:$Q,6,0)</f>
        <v>6-Coût des ventes</v>
      </c>
      <c r="H811" s="187"/>
      <c r="K811" s="2"/>
    </row>
    <row r="812" spans="1:29" ht="15" customHeight="1">
      <c r="A812" s="478" t="s">
        <v>1708</v>
      </c>
      <c r="B812" s="478" t="s">
        <v>1707</v>
      </c>
      <c r="C812" s="159" t="s">
        <v>75</v>
      </c>
      <c r="D812" s="159" t="s">
        <v>96</v>
      </c>
      <c r="E812" s="187" t="s">
        <v>285</v>
      </c>
      <c r="F812" s="2"/>
      <c r="G812" s="187" t="str">
        <f>+VLOOKUP(Table_1[[#This Row],[Account]],BV_Data_An_Cour!$L:$Q,6,0)</f>
        <v>6-Coût des ventes</v>
      </c>
      <c r="H812" s="187"/>
    </row>
    <row r="813" spans="1:29" ht="15" customHeight="1">
      <c r="A813" s="157" t="s">
        <v>1061</v>
      </c>
      <c r="B813" s="480" t="s">
        <v>1430</v>
      </c>
      <c r="C813" s="159" t="s">
        <v>75</v>
      </c>
      <c r="D813" s="159" t="s">
        <v>96</v>
      </c>
      <c r="E813" s="187" t="s">
        <v>285</v>
      </c>
      <c r="F813" s="2"/>
      <c r="G813" s="187" t="s">
        <v>2014</v>
      </c>
      <c r="H813" s="187"/>
    </row>
    <row r="814" spans="1:29" ht="15" customHeight="1">
      <c r="A814" s="474" t="s">
        <v>1432</v>
      </c>
      <c r="B814" s="164" t="s">
        <v>1431</v>
      </c>
      <c r="C814" s="159" t="s">
        <v>75</v>
      </c>
      <c r="D814" s="159" t="s">
        <v>96</v>
      </c>
      <c r="E814" s="187" t="s">
        <v>285</v>
      </c>
      <c r="F814" s="2"/>
      <c r="G814" s="187" t="str">
        <f>+VLOOKUP(Table_1[[#This Row],[Account]],BV_Data_An_Cour!$L:$Q,6,0)</f>
        <v>6-Coût des ventes</v>
      </c>
      <c r="H814" s="187"/>
    </row>
    <row r="815" spans="1:29" ht="15" customHeight="1">
      <c r="A815" s="481" t="s">
        <v>1715</v>
      </c>
      <c r="B815" s="481" t="s">
        <v>1714</v>
      </c>
      <c r="C815" s="159" t="s">
        <v>75</v>
      </c>
      <c r="D815" s="159" t="s">
        <v>95</v>
      </c>
      <c r="E815" s="187" t="s">
        <v>285</v>
      </c>
      <c r="F815" s="2"/>
      <c r="G815" s="187" t="str">
        <f>+VLOOKUP(Table_1[[#This Row],[Account]],BV_Data_An_Cour!$L:$Q,6,0)</f>
        <v>6-Coût des ventes</v>
      </c>
      <c r="H815" s="187"/>
    </row>
    <row r="816" spans="1:29" ht="15" customHeight="1">
      <c r="A816" s="476" t="s">
        <v>1064</v>
      </c>
      <c r="B816" s="171" t="s">
        <v>1433</v>
      </c>
      <c r="C816" s="159" t="s">
        <v>75</v>
      </c>
      <c r="D816" s="159" t="s">
        <v>95</v>
      </c>
      <c r="E816" s="187" t="s">
        <v>285</v>
      </c>
      <c r="F816" s="2"/>
      <c r="G816" s="187" t="s">
        <v>2014</v>
      </c>
      <c r="H816" s="187"/>
      <c r="K816" s="2"/>
    </row>
    <row r="817" spans="1:8" ht="15" customHeight="1">
      <c r="A817" s="479" t="s">
        <v>1948</v>
      </c>
      <c r="B817" s="478" t="s">
        <v>1947</v>
      </c>
      <c r="C817" s="159" t="s">
        <v>75</v>
      </c>
      <c r="D817" s="159" t="s">
        <v>95</v>
      </c>
      <c r="E817" s="187" t="s">
        <v>285</v>
      </c>
      <c r="F817" s="2"/>
      <c r="G817" s="187" t="s">
        <v>2014</v>
      </c>
      <c r="H817" s="187"/>
    </row>
    <row r="818" spans="1:8" ht="15" customHeight="1">
      <c r="A818" s="162" t="s">
        <v>1643</v>
      </c>
      <c r="B818" s="163" t="s">
        <v>1642</v>
      </c>
      <c r="C818" s="159" t="s">
        <v>75</v>
      </c>
      <c r="D818" s="159" t="s">
        <v>96</v>
      </c>
      <c r="E818" s="187" t="s">
        <v>285</v>
      </c>
      <c r="F818" s="2"/>
      <c r="G818" s="187" t="str">
        <f>+VLOOKUP(Table_1[[#This Row],[Account]],BV_Data_An_Cour!$L:$Q,6,0)</f>
        <v>6-Coût des ventes</v>
      </c>
      <c r="H818" s="187"/>
    </row>
    <row r="819" spans="1:8" ht="15" customHeight="1">
      <c r="A819" s="162" t="s">
        <v>1810</v>
      </c>
      <c r="B819" s="163" t="s">
        <v>1809</v>
      </c>
      <c r="C819" s="159" t="s">
        <v>75</v>
      </c>
      <c r="D819" s="159" t="s">
        <v>95</v>
      </c>
      <c r="E819" s="187" t="s">
        <v>285</v>
      </c>
      <c r="F819" s="2"/>
      <c r="G819" s="187" t="str">
        <f>+VLOOKUP(Table_1[[#This Row],[Account]],BV_Data_An_Cour!$L:$Q,6,0)</f>
        <v>6-Coût des ventes</v>
      </c>
      <c r="H819" s="187"/>
    </row>
    <row r="820" spans="1:8" ht="15" customHeight="1">
      <c r="A820" s="479" t="s">
        <v>1728</v>
      </c>
      <c r="B820" s="478" t="s">
        <v>1727</v>
      </c>
      <c r="C820" s="159" t="s">
        <v>75</v>
      </c>
      <c r="D820" s="159" t="s">
        <v>96</v>
      </c>
      <c r="E820" s="187" t="s">
        <v>285</v>
      </c>
      <c r="F820" s="2"/>
      <c r="G820" s="187" t="s">
        <v>2014</v>
      </c>
      <c r="H820" s="187"/>
    </row>
    <row r="821" spans="1:8" ht="15" customHeight="1">
      <c r="A821" s="162" t="s">
        <v>2237</v>
      </c>
      <c r="B821" s="158" t="s">
        <v>2238</v>
      </c>
      <c r="C821" s="159" t="s">
        <v>75</v>
      </c>
      <c r="D821" s="159" t="s">
        <v>86</v>
      </c>
      <c r="E821" s="187" t="s">
        <v>285</v>
      </c>
      <c r="F821" s="160"/>
      <c r="G821" s="187" t="e">
        <f>+VLOOKUP(Table_1[[#This Row],[Account]],BV_Data_An_Cour!$L:$Q,6,0)</f>
        <v>#N/A</v>
      </c>
      <c r="H821" s="187"/>
    </row>
    <row r="822" spans="1:8" ht="15" customHeight="1">
      <c r="A822" s="481" t="s">
        <v>663</v>
      </c>
      <c r="B822" s="481" t="s">
        <v>1434</v>
      </c>
      <c r="C822" s="159" t="s">
        <v>75</v>
      </c>
      <c r="D822" s="159" t="s">
        <v>86</v>
      </c>
      <c r="E822" s="187" t="s">
        <v>285</v>
      </c>
      <c r="F822" s="2"/>
      <c r="G822" s="187" t="s">
        <v>2014</v>
      </c>
      <c r="H822" s="187"/>
    </row>
    <row r="823" spans="1:8" ht="15" customHeight="1">
      <c r="A823" s="749" t="s">
        <v>2084</v>
      </c>
      <c r="B823" s="750" t="s">
        <v>2083</v>
      </c>
      <c r="C823" s="159" t="s">
        <v>75</v>
      </c>
      <c r="D823" s="159" t="s">
        <v>86</v>
      </c>
      <c r="E823" s="187" t="s">
        <v>285</v>
      </c>
      <c r="G823" s="187" t="e">
        <f>+VLOOKUP(Table_1[[#This Row],[Account]],BV_Data_An_Cour!$L:$Q,6,0)</f>
        <v>#N/A</v>
      </c>
      <c r="H823" s="187"/>
    </row>
    <row r="824" spans="1:8" ht="15" customHeight="1">
      <c r="A824" s="162" t="s">
        <v>2018</v>
      </c>
      <c r="B824" s="163" t="s">
        <v>2017</v>
      </c>
      <c r="C824" s="159" t="s">
        <v>75</v>
      </c>
      <c r="D824" s="159" t="s">
        <v>86</v>
      </c>
      <c r="E824" s="187" t="s">
        <v>285</v>
      </c>
      <c r="F824" s="2"/>
      <c r="G824" s="187" t="s">
        <v>2014</v>
      </c>
      <c r="H824" s="187"/>
    </row>
    <row r="825" spans="1:8" ht="15" customHeight="1">
      <c r="A825" s="162" t="s">
        <v>2057</v>
      </c>
      <c r="B825" s="163" t="s">
        <v>2056</v>
      </c>
      <c r="C825" s="159" t="s">
        <v>75</v>
      </c>
      <c r="D825" s="468" t="s">
        <v>86</v>
      </c>
      <c r="E825" s="187" t="s">
        <v>285</v>
      </c>
      <c r="F825" s="2"/>
      <c r="G825" s="187" t="s">
        <v>2014</v>
      </c>
      <c r="H825" s="187"/>
    </row>
    <row r="826" spans="1:8" ht="15" customHeight="1">
      <c r="A826" s="162" t="s">
        <v>664</v>
      </c>
      <c r="B826" s="163" t="s">
        <v>1801</v>
      </c>
      <c r="C826" s="159" t="s">
        <v>75</v>
      </c>
      <c r="D826" s="159" t="s">
        <v>95</v>
      </c>
      <c r="E826" s="187" t="s">
        <v>285</v>
      </c>
      <c r="F826" s="2"/>
      <c r="G826" s="187" t="e">
        <f>+VLOOKUP(Table_1[[#This Row],[Account]],BV_Data_An_Cour!$L:$Q,6,0)</f>
        <v>#N/A</v>
      </c>
      <c r="H826" s="187"/>
    </row>
    <row r="827" spans="1:8" ht="15" customHeight="1">
      <c r="A827" s="476" t="s">
        <v>2101</v>
      </c>
      <c r="B827" s="483" t="s">
        <v>2102</v>
      </c>
      <c r="C827" s="159" t="s">
        <v>75</v>
      </c>
      <c r="D827" s="159" t="s">
        <v>95</v>
      </c>
      <c r="E827" s="187" t="s">
        <v>285</v>
      </c>
      <c r="G827" s="187" t="str">
        <f>+VLOOKUP(Table_1[[#This Row],[Account]],BV_Data_An_Cour!$L:$Q,6,0)</f>
        <v>6-Coût des ventes</v>
      </c>
      <c r="H827" s="187"/>
    </row>
    <row r="828" spans="1:8" ht="15" customHeight="1">
      <c r="A828" s="162" t="s">
        <v>2059</v>
      </c>
      <c r="B828" s="163" t="s">
        <v>2058</v>
      </c>
      <c r="C828" s="159" t="s">
        <v>75</v>
      </c>
      <c r="D828" s="159" t="s">
        <v>103</v>
      </c>
      <c r="E828" s="187" t="s">
        <v>285</v>
      </c>
      <c r="F828" s="2"/>
      <c r="G828" s="187" t="e">
        <f>+VLOOKUP(Table_1[[#This Row],[Account]],BV_Data_An_Cour!$L:$Q,6,0)</f>
        <v>#N/A</v>
      </c>
      <c r="H828" s="187"/>
    </row>
    <row r="829" spans="1:8" ht="15" customHeight="1">
      <c r="A829" s="476" t="s">
        <v>842</v>
      </c>
      <c r="B829" s="483" t="s">
        <v>1197</v>
      </c>
      <c r="C829" s="159" t="s">
        <v>147</v>
      </c>
      <c r="D829" s="159" t="s">
        <v>1905</v>
      </c>
      <c r="E829" s="187" t="s">
        <v>285</v>
      </c>
      <c r="F829" s="2"/>
      <c r="G829" s="187" t="str">
        <f>+VLOOKUP(Table_1[[#This Row],[Account]],BV_Data_An_Cour!$L:$Q,6,0)</f>
        <v>7-Dépenses</v>
      </c>
      <c r="H829" s="187"/>
    </row>
    <row r="830" spans="1:8" ht="15" customHeight="1">
      <c r="A830" s="162" t="s">
        <v>797</v>
      </c>
      <c r="B830" s="163" t="s">
        <v>1460</v>
      </c>
      <c r="C830" s="159" t="s">
        <v>1893</v>
      </c>
      <c r="D830" s="159" t="s">
        <v>1905</v>
      </c>
      <c r="E830" s="187" t="s">
        <v>285</v>
      </c>
      <c r="F830" s="2"/>
      <c r="G830" s="187" t="e">
        <f>+VLOOKUP(Table_1[[#This Row],[Account]],BV_Data_An_Cour!$L:$Q,6,0)</f>
        <v>#N/A</v>
      </c>
      <c r="H830" s="187"/>
    </row>
    <row r="831" spans="1:8" ht="15" customHeight="1">
      <c r="A831" s="1189" t="s">
        <v>973</v>
      </c>
      <c r="B831" s="1198" t="s">
        <v>1828</v>
      </c>
      <c r="C831" s="159" t="s">
        <v>140</v>
      </c>
      <c r="D831" s="159" t="s">
        <v>141</v>
      </c>
      <c r="E831" s="187" t="s">
        <v>285</v>
      </c>
      <c r="F831" s="2"/>
      <c r="G831" s="187" t="e">
        <f>+VLOOKUP(Table_1[[#This Row],[Account]],BV_Data_An_Cour!$L:$Q,6,0)</f>
        <v>#N/A</v>
      </c>
      <c r="H831" s="187"/>
    </row>
    <row r="832" spans="1:8" ht="15" customHeight="1">
      <c r="A832" s="1189" t="s">
        <v>975</v>
      </c>
      <c r="B832" s="1198" t="s">
        <v>1435</v>
      </c>
      <c r="C832" s="159" t="s">
        <v>140</v>
      </c>
      <c r="D832" s="159" t="s">
        <v>142</v>
      </c>
      <c r="E832" s="187" t="s">
        <v>285</v>
      </c>
      <c r="F832" s="2"/>
      <c r="G832" s="187" t="e">
        <f>+VLOOKUP(Table_1[[#This Row],[Account]],BV_Data_An_Cour!$L:$Q,6,0)</f>
        <v>#N/A</v>
      </c>
      <c r="H832" s="187"/>
    </row>
    <row r="833" spans="1:8" ht="15" customHeight="1">
      <c r="A833" s="1195" t="s">
        <v>946</v>
      </c>
      <c r="B833" s="159" t="s">
        <v>1756</v>
      </c>
      <c r="C833" s="159" t="s">
        <v>140</v>
      </c>
      <c r="D833" s="159" t="s">
        <v>141</v>
      </c>
      <c r="E833" s="187" t="s">
        <v>285</v>
      </c>
      <c r="F833" s="2"/>
      <c r="G833" s="187" t="e">
        <f>+VLOOKUP(Table_1[[#This Row],[Account]],BV_Data_An_Cour!$L:$Q,6,0)</f>
        <v>#N/A</v>
      </c>
      <c r="H833" s="187"/>
    </row>
    <row r="834" spans="1:8" ht="15" customHeight="1">
      <c r="A834" s="1189" t="s">
        <v>935</v>
      </c>
      <c r="B834" s="1198" t="s">
        <v>1436</v>
      </c>
      <c r="C834" s="159" t="s">
        <v>140</v>
      </c>
      <c r="D834" s="159" t="s">
        <v>142</v>
      </c>
      <c r="E834" s="187" t="s">
        <v>285</v>
      </c>
      <c r="F834" s="2"/>
      <c r="G834" s="187" t="e">
        <f>+VLOOKUP(Table_1[[#This Row],[Account]],BV_Data_An_Cour!$L:$Q,6,0)</f>
        <v>#N/A</v>
      </c>
      <c r="H834" s="187"/>
    </row>
    <row r="835" spans="1:8" ht="15" customHeight="1">
      <c r="A835" s="1189" t="s">
        <v>665</v>
      </c>
      <c r="B835" s="1198" t="s">
        <v>1841</v>
      </c>
      <c r="C835" s="159" t="s">
        <v>140</v>
      </c>
      <c r="D835" s="159" t="s">
        <v>2811</v>
      </c>
      <c r="E835" s="187" t="s">
        <v>285</v>
      </c>
      <c r="F835" s="2"/>
      <c r="G835" s="187" t="e">
        <f>+VLOOKUP(Table_1[[#This Row],[Account]],BV_Data_An_Cour!$L:$Q,6,0)</f>
        <v>#N/A</v>
      </c>
      <c r="H835" s="187"/>
    </row>
    <row r="836" spans="1:8" ht="15" customHeight="1">
      <c r="A836" s="1199" t="s">
        <v>666</v>
      </c>
      <c r="B836" s="1206" t="s">
        <v>1738</v>
      </c>
      <c r="C836" s="159" t="s">
        <v>140</v>
      </c>
      <c r="D836" s="159" t="s">
        <v>2811</v>
      </c>
      <c r="E836" s="187" t="s">
        <v>285</v>
      </c>
      <c r="F836" s="2"/>
      <c r="G836" s="187" t="e">
        <f>+VLOOKUP(Table_1[[#This Row],[Account]],BV_Data_An_Cour!$L:$Q,6,0)</f>
        <v>#N/A</v>
      </c>
      <c r="H836" s="187"/>
    </row>
    <row r="837" spans="1:8" ht="15" customHeight="1">
      <c r="A837" s="1189" t="s">
        <v>1853</v>
      </c>
      <c r="B837" s="1198" t="s">
        <v>1852</v>
      </c>
      <c r="C837" s="159" t="s">
        <v>140</v>
      </c>
      <c r="D837" s="159" t="s">
        <v>144</v>
      </c>
      <c r="E837" s="187" t="s">
        <v>285</v>
      </c>
      <c r="F837" s="2"/>
      <c r="G837" s="187" t="e">
        <f>+VLOOKUP(Table_1[[#This Row],[Account]],BV_Data_An_Cour!$L:$Q,6,0)</f>
        <v>#N/A</v>
      </c>
      <c r="H837" s="187"/>
    </row>
    <row r="838" spans="1:8" ht="15" customHeight="1">
      <c r="A838" s="1189" t="s">
        <v>987</v>
      </c>
      <c r="B838" s="1198" t="s">
        <v>1854</v>
      </c>
      <c r="C838" s="159" t="s">
        <v>140</v>
      </c>
      <c r="D838" s="159" t="s">
        <v>144</v>
      </c>
      <c r="E838" s="187" t="s">
        <v>285</v>
      </c>
      <c r="F838" s="2"/>
      <c r="G838" s="187" t="str">
        <f>+VLOOKUP(Table_1[[#This Row],[Account]],BV_Data_An_Cour!$L:$Q,6,0)</f>
        <v>6-Coût des ventes</v>
      </c>
      <c r="H838" s="187"/>
    </row>
    <row r="839" spans="1:8" ht="15" customHeight="1">
      <c r="A839" s="1189" t="s">
        <v>985</v>
      </c>
      <c r="B839" s="1198" t="s">
        <v>1847</v>
      </c>
      <c r="C839" s="159" t="s">
        <v>140</v>
      </c>
      <c r="D839" s="159" t="s">
        <v>144</v>
      </c>
      <c r="E839" s="187" t="s">
        <v>285</v>
      </c>
      <c r="F839" s="2"/>
      <c r="G839" s="187" t="str">
        <f>+VLOOKUP(Table_1[[#This Row],[Account]],BV_Data_An_Cour!$L:$Q,6,0)</f>
        <v>6-Coût des ventes</v>
      </c>
      <c r="H839" s="187"/>
    </row>
    <row r="840" spans="1:8" ht="15" customHeight="1">
      <c r="A840" s="1199" t="s">
        <v>974</v>
      </c>
      <c r="B840" s="1206" t="s">
        <v>1838</v>
      </c>
      <c r="C840" s="159" t="s">
        <v>140</v>
      </c>
      <c r="D840" s="159" t="s">
        <v>141</v>
      </c>
      <c r="E840" s="187" t="s">
        <v>285</v>
      </c>
      <c r="F840" s="2"/>
      <c r="G840" s="187" t="str">
        <f>+VLOOKUP(Table_1[[#This Row],[Account]],BV_Data_An_Cour!$L:$Q,6,0)</f>
        <v>6-Coût des ventes</v>
      </c>
      <c r="H840" s="187"/>
    </row>
    <row r="841" spans="1:8" ht="15" customHeight="1">
      <c r="A841" s="1199" t="s">
        <v>982</v>
      </c>
      <c r="B841" s="1206" t="s">
        <v>1836</v>
      </c>
      <c r="C841" s="159" t="s">
        <v>140</v>
      </c>
      <c r="D841" s="159" t="s">
        <v>142</v>
      </c>
      <c r="E841" s="187" t="s">
        <v>285</v>
      </c>
      <c r="F841" s="2"/>
      <c r="G841" s="187" t="str">
        <f>+VLOOKUP(Table_1[[#This Row],[Account]],BV_Data_An_Cour!$L:$Q,6,0)</f>
        <v>6-Coût des ventes</v>
      </c>
      <c r="H841" s="187"/>
    </row>
    <row r="842" spans="1:8" ht="15" customHeight="1">
      <c r="A842" s="1189" t="s">
        <v>668</v>
      </c>
      <c r="B842" s="1198" t="s">
        <v>667</v>
      </c>
      <c r="C842" s="159" t="s">
        <v>75</v>
      </c>
      <c r="D842" s="159" t="s">
        <v>87</v>
      </c>
      <c r="E842" s="187" t="s">
        <v>285</v>
      </c>
      <c r="F842" s="2"/>
      <c r="G842" s="187" t="e">
        <f>+VLOOKUP(Table_1[[#This Row],[Account]],BV_Data_An_Cour!$L:$Q,6,0)</f>
        <v>#N/A</v>
      </c>
      <c r="H842" s="187"/>
    </row>
    <row r="843" spans="1:8" ht="15" customHeight="1">
      <c r="A843" s="1189" t="s">
        <v>986</v>
      </c>
      <c r="B843" s="1198" t="s">
        <v>1437</v>
      </c>
      <c r="C843" s="159" t="s">
        <v>75</v>
      </c>
      <c r="D843" s="159" t="s">
        <v>93</v>
      </c>
      <c r="E843" s="187" t="s">
        <v>285</v>
      </c>
      <c r="F843" s="2"/>
      <c r="G843" s="187" t="str">
        <f>+VLOOKUP(Table_1[[#This Row],[Account]],BV_Data_An_Cour!$L:$Q,6,0)</f>
        <v>6-Coût des ventes</v>
      </c>
      <c r="H843" s="187"/>
    </row>
    <row r="844" spans="1:8" ht="15" customHeight="1">
      <c r="A844" s="1189" t="s">
        <v>911</v>
      </c>
      <c r="B844" s="1206" t="s">
        <v>1672</v>
      </c>
      <c r="C844" s="159" t="s">
        <v>140</v>
      </c>
      <c r="D844" s="159" t="s">
        <v>141</v>
      </c>
      <c r="E844" s="187" t="s">
        <v>285</v>
      </c>
      <c r="F844" s="2"/>
      <c r="G844" s="187" t="str">
        <f>+VLOOKUP(Table_1[[#This Row],[Account]],BV_Data_An_Cour!$L:$Q,6,0)</f>
        <v>6-Coût des ventes</v>
      </c>
      <c r="H844" s="187"/>
    </row>
    <row r="845" spans="1:8" ht="15" customHeight="1">
      <c r="A845" s="478" t="s">
        <v>917</v>
      </c>
      <c r="B845" s="478" t="s">
        <v>1733</v>
      </c>
      <c r="C845" s="159" t="s">
        <v>140</v>
      </c>
      <c r="D845" s="159" t="s">
        <v>142</v>
      </c>
      <c r="E845" s="187" t="s">
        <v>285</v>
      </c>
      <c r="F845" s="2"/>
      <c r="G845" s="187" t="str">
        <f>+VLOOKUP(Table_1[[#This Row],[Account]],BV_Data_An_Cour!$L:$Q,6,0)</f>
        <v>6-Coût des ventes</v>
      </c>
      <c r="H845" s="187"/>
    </row>
    <row r="846" spans="1:8" ht="15" customHeight="1">
      <c r="A846" s="479" t="s">
        <v>1647</v>
      </c>
      <c r="B846" s="478" t="s">
        <v>1646</v>
      </c>
      <c r="C846" s="159" t="s">
        <v>140</v>
      </c>
      <c r="D846" s="159" t="s">
        <v>96</v>
      </c>
      <c r="E846" s="187" t="s">
        <v>285</v>
      </c>
      <c r="F846" s="2"/>
      <c r="G846" s="187" t="str">
        <f>+VLOOKUP(Table_1[[#This Row],[Account]],BV_Data_An_Cour!$L:$Q,6,0)</f>
        <v>6-Coût des ventes</v>
      </c>
      <c r="H846" s="187"/>
    </row>
    <row r="847" spans="1:8" ht="15" customHeight="1">
      <c r="A847" s="162" t="s">
        <v>1000</v>
      </c>
      <c r="B847" s="163" t="s">
        <v>999</v>
      </c>
      <c r="C847" s="159" t="s">
        <v>75</v>
      </c>
      <c r="D847" s="159" t="s">
        <v>86</v>
      </c>
      <c r="E847" s="187" t="s">
        <v>285</v>
      </c>
      <c r="F847" s="2"/>
      <c r="G847" s="187" t="s">
        <v>2014</v>
      </c>
    </row>
    <row r="848" spans="1:8" ht="15" customHeight="1">
      <c r="A848" s="158" t="s">
        <v>978</v>
      </c>
      <c r="B848" s="158" t="s">
        <v>1438</v>
      </c>
      <c r="C848" s="159" t="s">
        <v>75</v>
      </c>
      <c r="D848" s="159" t="s">
        <v>86</v>
      </c>
      <c r="E848" s="187" t="s">
        <v>285</v>
      </c>
      <c r="F848" s="2"/>
      <c r="G848" s="187" t="e">
        <f>+VLOOKUP(Table_1[[#This Row],[Account]],BV_Data_An_Cour!$L:$Q,6,0)</f>
        <v>#N/A</v>
      </c>
    </row>
    <row r="849" spans="1:29" ht="15" customHeight="1">
      <c r="A849" s="477" t="s">
        <v>669</v>
      </c>
      <c r="B849" s="171" t="s">
        <v>1439</v>
      </c>
      <c r="C849" s="159" t="s">
        <v>140</v>
      </c>
      <c r="D849" s="159" t="s">
        <v>96</v>
      </c>
      <c r="E849" s="187" t="s">
        <v>285</v>
      </c>
      <c r="F849" s="2"/>
      <c r="G849" s="187" t="str">
        <f>+VLOOKUP(Table_1[[#This Row],[Account]],BV_Data_An_Cour!$L:$Q,6,0)</f>
        <v>6-Coût des ventes</v>
      </c>
    </row>
    <row r="850" spans="1:29" ht="15" customHeight="1">
      <c r="A850" s="476" t="s">
        <v>1030</v>
      </c>
      <c r="B850" s="483" t="s">
        <v>1029</v>
      </c>
      <c r="C850" s="159" t="s">
        <v>75</v>
      </c>
      <c r="D850" s="159" t="s">
        <v>86</v>
      </c>
      <c r="E850" s="187" t="s">
        <v>285</v>
      </c>
      <c r="F850" s="2"/>
      <c r="G850" s="187" t="s">
        <v>2014</v>
      </c>
    </row>
    <row r="851" spans="1:29" ht="15" customHeight="1">
      <c r="A851" s="169" t="s">
        <v>1032</v>
      </c>
      <c r="B851" s="169" t="s">
        <v>1687</v>
      </c>
      <c r="C851" s="159" t="s">
        <v>140</v>
      </c>
      <c r="D851" s="159" t="s">
        <v>95</v>
      </c>
      <c r="E851" s="187" t="s">
        <v>285</v>
      </c>
      <c r="F851" s="2"/>
      <c r="G851" s="187" t="str">
        <f>+VLOOKUP(Table_1[[#This Row],[Account]],BV_Data_An_Cour!$L:$Q,6,0)</f>
        <v>6-Coût des ventes</v>
      </c>
    </row>
    <row r="852" spans="1:29" ht="15" customHeight="1">
      <c r="A852" s="158" t="s">
        <v>1844</v>
      </c>
      <c r="B852" s="158" t="s">
        <v>1843</v>
      </c>
      <c r="C852" s="159" t="s">
        <v>75</v>
      </c>
      <c r="D852" s="159" t="s">
        <v>86</v>
      </c>
      <c r="E852" s="187" t="s">
        <v>285</v>
      </c>
      <c r="F852" s="2"/>
      <c r="G852" s="187" t="s">
        <v>2014</v>
      </c>
    </row>
    <row r="853" spans="1:29" ht="15" customHeight="1">
      <c r="A853" s="475" t="s">
        <v>1441</v>
      </c>
      <c r="B853" s="480" t="s">
        <v>1440</v>
      </c>
      <c r="C853" s="159" t="s">
        <v>140</v>
      </c>
      <c r="D853" s="159" t="s">
        <v>95</v>
      </c>
      <c r="E853" s="187" t="s">
        <v>285</v>
      </c>
      <c r="F853" s="2"/>
      <c r="G853" s="187" t="s">
        <v>2014</v>
      </c>
    </row>
    <row r="854" spans="1:29" ht="15" customHeight="1">
      <c r="A854" s="162" t="s">
        <v>2020</v>
      </c>
      <c r="B854" s="163" t="s">
        <v>2019</v>
      </c>
      <c r="C854" s="159" t="s">
        <v>140</v>
      </c>
      <c r="D854" s="468" t="s">
        <v>95</v>
      </c>
      <c r="E854" s="187" t="s">
        <v>285</v>
      </c>
      <c r="F854" s="2"/>
      <c r="G854" s="187" t="s">
        <v>2014</v>
      </c>
    </row>
    <row r="855" spans="1:29" ht="15" customHeight="1">
      <c r="A855" s="170" t="s">
        <v>1228</v>
      </c>
      <c r="B855" s="171" t="s">
        <v>1227</v>
      </c>
      <c r="C855" s="159" t="s">
        <v>140</v>
      </c>
      <c r="D855" s="159" t="s">
        <v>96</v>
      </c>
      <c r="E855" s="187" t="s">
        <v>285</v>
      </c>
      <c r="F855" s="2"/>
      <c r="G855" s="187" t="e">
        <f>+VLOOKUP(Table_1[[#This Row],[Account]],BV_Data_An_Cour!$L:$Q,6,0)</f>
        <v>#N/A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474" t="s">
        <v>1443</v>
      </c>
      <c r="B856" s="482" t="s">
        <v>1442</v>
      </c>
      <c r="C856" s="159" t="s">
        <v>140</v>
      </c>
      <c r="D856" s="159" t="s">
        <v>95</v>
      </c>
      <c r="E856" s="187" t="s">
        <v>285</v>
      </c>
      <c r="F856" s="2"/>
      <c r="G856" s="187" t="e">
        <f>+VLOOKUP(Table_1[[#This Row],[Account]],BV_Data_An_Cour!$L:$Q,6,0)</f>
        <v>#N/A</v>
      </c>
    </row>
    <row r="857" spans="1:29" ht="15" customHeight="1">
      <c r="A857" s="479" t="s">
        <v>1445</v>
      </c>
      <c r="B857" s="478" t="s">
        <v>1444</v>
      </c>
      <c r="C857" s="159" t="s">
        <v>140</v>
      </c>
      <c r="D857" s="159" t="s">
        <v>96</v>
      </c>
      <c r="E857" s="187" t="s">
        <v>285</v>
      </c>
      <c r="F857" s="2"/>
      <c r="G857" s="187" t="e">
        <f>+VLOOKUP(Table_1[[#This Row],[Account]],BV_Data_An_Cour!$L:$Q,6,0)</f>
        <v>#N/A</v>
      </c>
    </row>
    <row r="858" spans="1:29" ht="15" customHeight="1">
      <c r="A858" s="168" t="s">
        <v>1447</v>
      </c>
      <c r="B858" s="483" t="s">
        <v>1446</v>
      </c>
      <c r="C858" s="159" t="s">
        <v>140</v>
      </c>
      <c r="D858" s="159" t="s">
        <v>96</v>
      </c>
      <c r="E858" s="187" t="s">
        <v>285</v>
      </c>
      <c r="F858" s="2"/>
      <c r="G858" s="187" t="e">
        <f>+VLOOKUP(Table_1[[#This Row],[Account]],BV_Data_An_Cour!$L:$Q,6,0)</f>
        <v>#N/A</v>
      </c>
    </row>
    <row r="859" spans="1:29" ht="15" customHeight="1">
      <c r="A859" s="479" t="s">
        <v>2103</v>
      </c>
      <c r="B859" s="478" t="s">
        <v>2104</v>
      </c>
      <c r="C859" s="159" t="s">
        <v>140</v>
      </c>
      <c r="D859" s="159" t="s">
        <v>96</v>
      </c>
      <c r="E859" s="187" t="s">
        <v>285</v>
      </c>
      <c r="F859" s="2"/>
      <c r="G859" s="187" t="e">
        <f>+VLOOKUP(Table_1[[#This Row],[Account]],BV_Data_An_Cour!$L:$Q,6,0)</f>
        <v>#N/A</v>
      </c>
    </row>
    <row r="860" spans="1:29" ht="15" customHeight="1">
      <c r="A860" s="162" t="s">
        <v>1448</v>
      </c>
      <c r="B860" s="163" t="s">
        <v>1031</v>
      </c>
      <c r="C860" s="159" t="s">
        <v>75</v>
      </c>
      <c r="D860" s="159" t="s">
        <v>86</v>
      </c>
      <c r="E860" s="187" t="s">
        <v>285</v>
      </c>
      <c r="F860" s="2"/>
      <c r="G860" s="187" t="s">
        <v>2014</v>
      </c>
    </row>
    <row r="861" spans="1:29" ht="15" customHeight="1">
      <c r="A861" s="165" t="s">
        <v>2131</v>
      </c>
      <c r="B861" s="172" t="s">
        <v>2130</v>
      </c>
      <c r="C861" s="159" t="s">
        <v>75</v>
      </c>
      <c r="D861" s="159" t="s">
        <v>86</v>
      </c>
      <c r="E861" s="187" t="s">
        <v>285</v>
      </c>
      <c r="F861" s="160"/>
      <c r="G861" s="493"/>
      <c r="H861" s="459"/>
    </row>
    <row r="862" spans="1:29" ht="15" customHeight="1">
      <c r="A862" s="479" t="s">
        <v>2917</v>
      </c>
      <c r="B862" s="480" t="s">
        <v>2916</v>
      </c>
      <c r="C862" s="159" t="s">
        <v>140</v>
      </c>
      <c r="D862" s="159" t="s">
        <v>95</v>
      </c>
      <c r="E862" s="187" t="s">
        <v>285</v>
      </c>
      <c r="F862" s="2"/>
      <c r="G862" s="187"/>
      <c r="H862" s="160"/>
    </row>
    <row r="863" spans="1:29" ht="15" customHeight="1">
      <c r="A863" s="162" t="s">
        <v>1450</v>
      </c>
      <c r="B863" s="163" t="s">
        <v>1449</v>
      </c>
      <c r="C863" s="159" t="s">
        <v>140</v>
      </c>
      <c r="D863" s="159" t="s">
        <v>96</v>
      </c>
      <c r="E863" s="187" t="s">
        <v>285</v>
      </c>
      <c r="F863" s="2"/>
      <c r="G863" s="187" t="s">
        <v>2014</v>
      </c>
      <c r="H863" s="160"/>
    </row>
    <row r="864" spans="1:29" ht="15" customHeight="1">
      <c r="A864" s="162" t="s">
        <v>2207</v>
      </c>
      <c r="B864" s="158" t="s">
        <v>2206</v>
      </c>
      <c r="C864" s="159" t="s">
        <v>140</v>
      </c>
      <c r="D864" s="159" t="s">
        <v>95</v>
      </c>
      <c r="E864" s="187" t="s">
        <v>285</v>
      </c>
      <c r="F864" s="160"/>
      <c r="G864" s="187" t="e">
        <f>+VLOOKUP(Table_1[[#This Row],[Account]],BV_Data_An_Cour!$L:$Q,6,0)</f>
        <v>#N/A</v>
      </c>
      <c r="H864" s="160"/>
    </row>
    <row r="865" spans="1:29" ht="15" customHeight="1">
      <c r="A865" s="479" t="s">
        <v>964</v>
      </c>
      <c r="B865" s="478" t="s">
        <v>1815</v>
      </c>
      <c r="C865" s="159" t="s">
        <v>140</v>
      </c>
      <c r="D865" s="159" t="s">
        <v>95</v>
      </c>
      <c r="E865" s="187" t="s">
        <v>285</v>
      </c>
      <c r="F865" s="2"/>
      <c r="G865" s="187" t="str">
        <f>+VLOOKUP(Table_1[[#This Row],[Account]],BV_Data_An_Cour!$L:$Q,6,0)</f>
        <v>6-Coût des ventes</v>
      </c>
      <c r="H865" s="160"/>
    </row>
    <row r="866" spans="1:29" ht="15" customHeight="1">
      <c r="A866" s="474" t="s">
        <v>670</v>
      </c>
      <c r="B866" s="482" t="s">
        <v>1451</v>
      </c>
      <c r="C866" s="159" t="s">
        <v>75</v>
      </c>
      <c r="D866" s="159" t="s">
        <v>86</v>
      </c>
      <c r="E866" s="187" t="s">
        <v>285</v>
      </c>
      <c r="F866" s="2"/>
      <c r="G866" s="187" t="e">
        <f>+VLOOKUP(Table_1[[#This Row],[Account]],BV_Data_An_Cour!$L:$Q,6,0)</f>
        <v>#N/A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1" t="s">
        <v>672</v>
      </c>
      <c r="B867" s="481" t="s">
        <v>671</v>
      </c>
      <c r="C867" s="159" t="s">
        <v>75</v>
      </c>
      <c r="D867" s="159" t="s">
        <v>86</v>
      </c>
      <c r="E867" s="187" t="s">
        <v>285</v>
      </c>
      <c r="F867" s="2"/>
      <c r="G867" s="187" t="e">
        <f>+VLOOKUP(Table_1[[#This Row],[Account]],BV_Data_An_Cour!$L:$Q,6,0)</f>
        <v>#N/A</v>
      </c>
      <c r="H867" s="160"/>
    </row>
    <row r="868" spans="1:29" ht="15" customHeight="1">
      <c r="A868" s="479" t="s">
        <v>1989</v>
      </c>
      <c r="B868" s="478" t="s">
        <v>1988</v>
      </c>
      <c r="C868" s="159" t="s">
        <v>140</v>
      </c>
      <c r="D868" s="159" t="s">
        <v>95</v>
      </c>
      <c r="E868" s="187" t="s">
        <v>285</v>
      </c>
      <c r="F868" s="2"/>
      <c r="G868" s="187" t="str">
        <f>+VLOOKUP(Table_1[[#This Row],[Account]],BV_Data_An_Cour!$L:$Q,6,0)</f>
        <v>6-Coût des ventes</v>
      </c>
      <c r="H868" s="160"/>
    </row>
    <row r="869" spans="1:29" ht="15" customHeight="1">
      <c r="A869" s="162" t="s">
        <v>2371</v>
      </c>
      <c r="B869" s="158" t="s">
        <v>2370</v>
      </c>
      <c r="C869" s="159" t="s">
        <v>140</v>
      </c>
      <c r="D869" s="159" t="s">
        <v>95</v>
      </c>
      <c r="E869" s="187" t="s">
        <v>285</v>
      </c>
      <c r="F869" s="160"/>
      <c r="G869" s="493"/>
      <c r="H869" s="160"/>
    </row>
    <row r="870" spans="1:29" ht="15" customHeight="1">
      <c r="A870" s="167" t="s">
        <v>2150</v>
      </c>
      <c r="B870" s="173" t="s">
        <v>2149</v>
      </c>
      <c r="C870" s="159" t="s">
        <v>140</v>
      </c>
      <c r="D870" s="159" t="s">
        <v>95</v>
      </c>
      <c r="E870" s="187" t="s">
        <v>285</v>
      </c>
      <c r="F870" s="160"/>
      <c r="G870" s="187" t="str">
        <f>+VLOOKUP(Table_1[[#This Row],[Account]],BV_Data_An_Cour!$L:$Q,6,0)</f>
        <v>6-Coût des ventes</v>
      </c>
      <c r="H870" s="160"/>
    </row>
    <row r="871" spans="1:29" ht="15" customHeight="1">
      <c r="A871" s="479" t="s">
        <v>2133</v>
      </c>
      <c r="B871" s="480" t="s">
        <v>2132</v>
      </c>
      <c r="C871" s="159" t="s">
        <v>140</v>
      </c>
      <c r="D871" s="159" t="s">
        <v>96</v>
      </c>
      <c r="E871" s="187" t="s">
        <v>285</v>
      </c>
      <c r="F871" s="2"/>
      <c r="G871" s="187"/>
      <c r="H871" s="160"/>
    </row>
    <row r="872" spans="1:29" ht="15" customHeight="1">
      <c r="A872" s="749" t="s">
        <v>2071</v>
      </c>
      <c r="B872" s="750" t="s">
        <v>2070</v>
      </c>
      <c r="C872" s="159" t="s">
        <v>140</v>
      </c>
      <c r="D872" s="159" t="s">
        <v>95</v>
      </c>
      <c r="E872" s="187" t="s">
        <v>285</v>
      </c>
      <c r="F872" s="2"/>
      <c r="G872" s="187" t="s">
        <v>2014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1956</v>
      </c>
      <c r="B873" s="164" t="s">
        <v>1955</v>
      </c>
      <c r="C873" s="159" t="s">
        <v>140</v>
      </c>
      <c r="D873" s="468" t="s">
        <v>95</v>
      </c>
      <c r="E873" s="187" t="s">
        <v>285</v>
      </c>
      <c r="F873" s="2"/>
      <c r="G873" s="187" t="str">
        <f>+VLOOKUP(Table_1[[#This Row],[Account]],BV_Data_An_Cour!$L:$Q,6,0)</f>
        <v>6-Coût des ventes</v>
      </c>
      <c r="H873" s="160"/>
    </row>
    <row r="874" spans="1:29" ht="15" customHeight="1">
      <c r="A874" s="162" t="s">
        <v>2888</v>
      </c>
      <c r="B874" s="158" t="s">
        <v>2887</v>
      </c>
      <c r="C874" s="159" t="s">
        <v>140</v>
      </c>
      <c r="D874" s="159" t="s">
        <v>96</v>
      </c>
      <c r="E874" s="187" t="s">
        <v>285</v>
      </c>
      <c r="F874" s="160"/>
      <c r="G874" s="493"/>
      <c r="H874" s="160"/>
    </row>
    <row r="875" spans="1:29" ht="15" customHeight="1">
      <c r="A875" s="162" t="s">
        <v>2403</v>
      </c>
      <c r="B875" s="158" t="s">
        <v>2402</v>
      </c>
      <c r="C875" s="159" t="s">
        <v>140</v>
      </c>
      <c r="D875" s="159" t="s">
        <v>95</v>
      </c>
      <c r="E875" s="187" t="s">
        <v>285</v>
      </c>
      <c r="F875" s="160"/>
      <c r="G875" s="493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2849</v>
      </c>
      <c r="B876" s="158" t="s">
        <v>2848</v>
      </c>
      <c r="C876" s="159" t="s">
        <v>140</v>
      </c>
      <c r="D876" s="159" t="s">
        <v>96</v>
      </c>
      <c r="E876" s="187" t="s">
        <v>285</v>
      </c>
      <c r="F876" s="160"/>
      <c r="G876" s="493"/>
      <c r="H876" s="160"/>
    </row>
    <row r="877" spans="1:29" ht="15" customHeight="1">
      <c r="A877" s="162" t="s">
        <v>2970</v>
      </c>
      <c r="B877" s="158" t="s">
        <v>2969</v>
      </c>
      <c r="C877" s="159" t="s">
        <v>140</v>
      </c>
      <c r="D877" s="159" t="s">
        <v>95</v>
      </c>
      <c r="E877" s="187" t="s">
        <v>285</v>
      </c>
      <c r="F877" s="160"/>
      <c r="G877" s="493"/>
      <c r="H877" s="160"/>
    </row>
    <row r="878" spans="1:29" ht="15" customHeight="1">
      <c r="A878" s="168" t="s">
        <v>673</v>
      </c>
      <c r="B878" s="169" t="s">
        <v>1452</v>
      </c>
      <c r="C878" s="159" t="s">
        <v>140</v>
      </c>
      <c r="D878" s="159" t="s">
        <v>95</v>
      </c>
      <c r="E878" s="187" t="s">
        <v>285</v>
      </c>
      <c r="F878" s="2"/>
      <c r="G878" s="187" t="e">
        <f>+VLOOKUP(Table_1[[#This Row],[Account]],BV_Data_An_Cour!$L:$Q,6,0)</f>
        <v>#N/A</v>
      </c>
      <c r="H878" s="160"/>
    </row>
    <row r="879" spans="1:29" ht="15" customHeight="1">
      <c r="A879" s="474" t="s">
        <v>844</v>
      </c>
      <c r="B879" s="482" t="s">
        <v>1696</v>
      </c>
      <c r="C879" s="159" t="s">
        <v>1911</v>
      </c>
      <c r="D879" s="159" t="s">
        <v>155</v>
      </c>
      <c r="E879" s="187" t="s">
        <v>285</v>
      </c>
      <c r="F879" s="2"/>
      <c r="G879" s="187" t="str">
        <f>+VLOOKUP(Table_1[[#This Row],[Account]],BV_Data_An_Cour!$L:$Q,6,0)</f>
        <v>6-Coût des ventes</v>
      </c>
      <c r="H879" s="160"/>
    </row>
    <row r="880" spans="1:29" ht="15" customHeight="1">
      <c r="A880" s="162" t="s">
        <v>2192</v>
      </c>
      <c r="B880" s="158" t="s">
        <v>2191</v>
      </c>
      <c r="C880" s="159" t="s">
        <v>147</v>
      </c>
      <c r="D880" s="159" t="s">
        <v>155</v>
      </c>
      <c r="E880" s="187" t="s">
        <v>285</v>
      </c>
      <c r="F880" s="160"/>
      <c r="G880" s="187" t="str">
        <f>+VLOOKUP(Table_1[[#This Row],[Account]],BV_Data_An_Cour!$L:$Q,6,0)</f>
        <v>6-Coût des ventes</v>
      </c>
      <c r="H880" s="160"/>
    </row>
    <row r="881" spans="1:8" ht="15" customHeight="1">
      <c r="A881" s="162" t="s">
        <v>1747</v>
      </c>
      <c r="B881" s="163" t="s">
        <v>1746</v>
      </c>
      <c r="C881" s="159" t="s">
        <v>1911</v>
      </c>
      <c r="D881" s="159" t="s">
        <v>151</v>
      </c>
      <c r="E881" s="187" t="s">
        <v>285</v>
      </c>
      <c r="F881" s="2"/>
      <c r="G881" s="187" t="str">
        <f>+VLOOKUP(Table_1[[#This Row],[Account]],BV_Data_An_Cour!$L:$Q,6,0)</f>
        <v>6-Coût des ventes</v>
      </c>
      <c r="H881" s="160"/>
    </row>
    <row r="882" spans="1:8" ht="15" customHeight="1">
      <c r="A882" s="162" t="s">
        <v>967</v>
      </c>
      <c r="B882" s="163" t="s">
        <v>1735</v>
      </c>
      <c r="C882" s="159" t="s">
        <v>1911</v>
      </c>
      <c r="D882" s="159" t="s">
        <v>151</v>
      </c>
      <c r="E882" s="187" t="s">
        <v>285</v>
      </c>
      <c r="F882" s="2"/>
      <c r="G882" s="187" t="str">
        <f>+VLOOKUP(Table_1[[#This Row],[Account]],BV_Data_An_Cour!$L:$Q,6,0)</f>
        <v>6-Coût des ventes</v>
      </c>
      <c r="H882" s="160"/>
    </row>
    <row r="883" spans="1:8" ht="15" customHeight="1">
      <c r="A883" s="476" t="s">
        <v>837</v>
      </c>
      <c r="B883" s="483" t="s">
        <v>1058</v>
      </c>
      <c r="C883" s="159" t="s">
        <v>1911</v>
      </c>
      <c r="D883" s="159" t="s">
        <v>151</v>
      </c>
      <c r="E883" s="187" t="s">
        <v>285</v>
      </c>
      <c r="F883" s="2"/>
      <c r="G883" s="187" t="str">
        <f>+VLOOKUP(Table_1[[#This Row],[Account]],BV_Data_An_Cour!$L:$Q,6,0)</f>
        <v>6-Coût des ventes</v>
      </c>
      <c r="H883" s="160"/>
    </row>
    <row r="884" spans="1:8" ht="15" customHeight="1">
      <c r="A884" s="162" t="s">
        <v>1769</v>
      </c>
      <c r="B884" s="163" t="s">
        <v>1768</v>
      </c>
      <c r="C884" s="159" t="s">
        <v>1911</v>
      </c>
      <c r="D884" s="159" t="s">
        <v>153</v>
      </c>
      <c r="E884" s="187" t="s">
        <v>285</v>
      </c>
      <c r="F884" s="2"/>
      <c r="G884" s="187" t="str">
        <f>+VLOOKUP(Table_1[[#This Row],[Account]],BV_Data_An_Cour!$L:$Q,6,0)</f>
        <v>6-Coût des ventes</v>
      </c>
      <c r="H884" s="160"/>
    </row>
    <row r="885" spans="1:8" ht="15" customHeight="1">
      <c r="A885" s="162" t="s">
        <v>912</v>
      </c>
      <c r="B885" s="163" t="s">
        <v>1785</v>
      </c>
      <c r="C885" s="159" t="s">
        <v>1911</v>
      </c>
      <c r="D885" s="159" t="s">
        <v>153</v>
      </c>
      <c r="E885" s="187" t="s">
        <v>285</v>
      </c>
      <c r="F885" s="2"/>
      <c r="G885" s="187" t="str">
        <f>+VLOOKUP(Table_1[[#This Row],[Account]],BV_Data_An_Cour!$L:$Q,6,0)</f>
        <v>6-Coût des ventes</v>
      </c>
      <c r="H885" s="160"/>
    </row>
    <row r="886" spans="1:8" ht="15" customHeight="1">
      <c r="A886" s="474" t="s">
        <v>886</v>
      </c>
      <c r="B886" s="482" t="s">
        <v>1683</v>
      </c>
      <c r="C886" s="159" t="s">
        <v>1911</v>
      </c>
      <c r="D886" s="159" t="s">
        <v>153</v>
      </c>
      <c r="E886" s="187" t="s">
        <v>285</v>
      </c>
      <c r="F886" s="2"/>
      <c r="G886" s="187" t="str">
        <f>+VLOOKUP(Table_1[[#This Row],[Account]],BV_Data_An_Cour!$L:$Q,6,0)</f>
        <v>6-Coût des ventes</v>
      </c>
      <c r="H886" s="160"/>
    </row>
    <row r="887" spans="1:8" ht="15" customHeight="1">
      <c r="A887" s="1199" t="s">
        <v>905</v>
      </c>
      <c r="B887" s="1205" t="s">
        <v>1713</v>
      </c>
      <c r="C887" s="159" t="s">
        <v>1911</v>
      </c>
      <c r="D887" s="159" t="s">
        <v>153</v>
      </c>
      <c r="E887" s="187" t="s">
        <v>285</v>
      </c>
      <c r="F887" s="2"/>
      <c r="G887" s="187" t="str">
        <f>+VLOOKUP(Table_1[[#This Row],[Account]],BV_Data_An_Cour!$L:$Q,6,0)</f>
        <v>6-Coût des ventes</v>
      </c>
      <c r="H887" s="160"/>
    </row>
    <row r="888" spans="1:8" ht="15" customHeight="1">
      <c r="A888" s="476" t="s">
        <v>822</v>
      </c>
      <c r="B888" s="483" t="s">
        <v>1620</v>
      </c>
      <c r="C888" s="159" t="s">
        <v>1911</v>
      </c>
      <c r="D888" s="159" t="s">
        <v>153</v>
      </c>
      <c r="E888" s="187" t="s">
        <v>285</v>
      </c>
      <c r="F888" s="2"/>
      <c r="G888" s="187" t="str">
        <f>+VLOOKUP(Table_1[[#This Row],[Account]],BV_Data_An_Cour!$L:$Q,6,0)</f>
        <v>6-Coût des ventes</v>
      </c>
      <c r="H888" s="160"/>
    </row>
    <row r="889" spans="1:8" ht="15" customHeight="1">
      <c r="A889" s="476" t="s">
        <v>777</v>
      </c>
      <c r="B889" s="483" t="s">
        <v>1033</v>
      </c>
      <c r="C889" s="159" t="s">
        <v>1911</v>
      </c>
      <c r="D889" s="159" t="s">
        <v>153</v>
      </c>
      <c r="E889" s="187" t="s">
        <v>285</v>
      </c>
      <c r="F889" s="2"/>
      <c r="G889" s="187" t="str">
        <f>+VLOOKUP(Table_1[[#This Row],[Account]],BV_Data_An_Cour!$L:$Q,6,0)</f>
        <v>6-Coût des ventes</v>
      </c>
      <c r="H889" s="160"/>
    </row>
    <row r="890" spans="1:8" ht="15" customHeight="1">
      <c r="A890" s="162" t="s">
        <v>1722</v>
      </c>
      <c r="B890" s="163" t="s">
        <v>1721</v>
      </c>
      <c r="C890" s="159" t="s">
        <v>1911</v>
      </c>
      <c r="D890" s="159" t="s">
        <v>154</v>
      </c>
      <c r="E890" s="187" t="s">
        <v>285</v>
      </c>
      <c r="F890" s="2"/>
      <c r="G890" s="187" t="str">
        <f>+VLOOKUP(Table_1[[#This Row],[Account]],BV_Data_An_Cour!$L:$Q,6,0)</f>
        <v>6-Coût des ventes</v>
      </c>
      <c r="H890" s="160"/>
    </row>
    <row r="891" spans="1:8" ht="15" customHeight="1">
      <c r="A891" s="474" t="s">
        <v>923</v>
      </c>
      <c r="B891" s="482" t="s">
        <v>1725</v>
      </c>
      <c r="C891" s="159" t="s">
        <v>1911</v>
      </c>
      <c r="D891" s="159" t="s">
        <v>154</v>
      </c>
      <c r="E891" s="187" t="s">
        <v>285</v>
      </c>
      <c r="F891" s="2"/>
      <c r="G891" s="187" t="str">
        <f>+VLOOKUP(Table_1[[#This Row],[Account]],BV_Data_An_Cour!$L:$Q,6,0)</f>
        <v>6-Coût des ventes</v>
      </c>
      <c r="H891" s="160"/>
    </row>
    <row r="892" spans="1:8" ht="15" customHeight="1">
      <c r="A892" s="476" t="s">
        <v>780</v>
      </c>
      <c r="B892" s="483" t="s">
        <v>1057</v>
      </c>
      <c r="C892" s="159" t="s">
        <v>1911</v>
      </c>
      <c r="D892" s="159" t="s">
        <v>154</v>
      </c>
      <c r="E892" s="187" t="s">
        <v>285</v>
      </c>
      <c r="F892" s="187"/>
      <c r="G892" s="187" t="str">
        <f>+VLOOKUP(Table_1[[#This Row],[Account]],BV_Data_An_Cour!$L:$Q,6,0)</f>
        <v>6-Coût des ventes</v>
      </c>
      <c r="H892" s="160"/>
    </row>
    <row r="893" spans="1:8" ht="15" customHeight="1">
      <c r="A893" s="174" t="s">
        <v>2178</v>
      </c>
      <c r="B893" s="158" t="s">
        <v>2177</v>
      </c>
      <c r="C893" s="159" t="s">
        <v>147</v>
      </c>
      <c r="D893" s="159" t="s">
        <v>154</v>
      </c>
      <c r="E893" s="187" t="s">
        <v>285</v>
      </c>
      <c r="F893" s="160"/>
      <c r="G893" s="187" t="e">
        <f>+VLOOKUP(Table_1[[#This Row],[Account]],BV_Data_An_Cour!$L:$Q,6,0)</f>
        <v>#N/A</v>
      </c>
      <c r="H893" s="160"/>
    </row>
    <row r="894" spans="1:8" ht="15" customHeight="1">
      <c r="A894" s="174" t="s">
        <v>2180</v>
      </c>
      <c r="B894" s="158" t="s">
        <v>2179</v>
      </c>
      <c r="C894" s="159" t="s">
        <v>147</v>
      </c>
      <c r="D894" s="159" t="s">
        <v>154</v>
      </c>
      <c r="E894" s="187" t="s">
        <v>285</v>
      </c>
      <c r="F894" s="160"/>
      <c r="G894" s="187" t="str">
        <f>+VLOOKUP(Table_1[[#This Row],[Account]],BV_Data_An_Cour!$L:$Q,6,0)</f>
        <v>6-Coût des ventes</v>
      </c>
      <c r="H894" s="160"/>
    </row>
    <row r="895" spans="1:8" ht="15" customHeight="1">
      <c r="A895" s="162" t="s">
        <v>2239</v>
      </c>
      <c r="B895" s="158" t="s">
        <v>2240</v>
      </c>
      <c r="C895" s="159" t="s">
        <v>147</v>
      </c>
      <c r="D895" s="159" t="s">
        <v>154</v>
      </c>
      <c r="E895" s="493" t="s">
        <v>285</v>
      </c>
      <c r="F895" s="160"/>
      <c r="G895" s="493"/>
      <c r="H895" s="160"/>
    </row>
    <row r="896" spans="1:8" ht="15" customHeight="1">
      <c r="A896" s="474" t="s">
        <v>1765</v>
      </c>
      <c r="B896" s="482" t="s">
        <v>1764</v>
      </c>
      <c r="C896" s="159" t="s">
        <v>1911</v>
      </c>
      <c r="D896" s="159" t="s">
        <v>159</v>
      </c>
      <c r="E896" s="187" t="s">
        <v>285</v>
      </c>
      <c r="F896" s="2"/>
      <c r="G896" s="187" t="e">
        <f>+VLOOKUP(Table_1[[#This Row],[Account]],BV_Data_An_Cour!$L:$Q,6,0)</f>
        <v>#N/A</v>
      </c>
      <c r="H896" s="160"/>
    </row>
    <row r="897" spans="1:11" ht="15" customHeight="1">
      <c r="A897" s="162" t="s">
        <v>898</v>
      </c>
      <c r="B897" s="1198" t="s">
        <v>1775</v>
      </c>
      <c r="C897" s="159" t="s">
        <v>1911</v>
      </c>
      <c r="D897" s="159" t="s">
        <v>159</v>
      </c>
      <c r="E897" s="187" t="s">
        <v>285</v>
      </c>
      <c r="F897" s="2"/>
      <c r="G897" s="187" t="str">
        <f>+VLOOKUP(Table_1[[#This Row],[Account]],BV_Data_An_Cour!$L:$Q,6,0)</f>
        <v>6-Coût des ventes</v>
      </c>
      <c r="H897" s="160"/>
    </row>
    <row r="898" spans="1:11" ht="15" customHeight="1">
      <c r="A898" s="169" t="s">
        <v>675</v>
      </c>
      <c r="B898" s="169" t="s">
        <v>674</v>
      </c>
      <c r="C898" s="159" t="s">
        <v>1911</v>
      </c>
      <c r="D898" s="159" t="s">
        <v>159</v>
      </c>
      <c r="E898" s="187" t="s">
        <v>285</v>
      </c>
      <c r="F898" s="187"/>
      <c r="G898" s="187" t="e">
        <f>+VLOOKUP(Table_1[[#This Row],[Account]],BV_Data_An_Cour!$L:$Q,6,0)</f>
        <v>#N/A</v>
      </c>
      <c r="H898" s="160"/>
    </row>
    <row r="899" spans="1:11" ht="15" customHeight="1">
      <c r="A899" s="474" t="s">
        <v>1698</v>
      </c>
      <c r="B899" s="482" t="s">
        <v>1697</v>
      </c>
      <c r="C899" s="159" t="s">
        <v>1911</v>
      </c>
      <c r="D899" s="159" t="s">
        <v>159</v>
      </c>
      <c r="E899" s="187" t="s">
        <v>285</v>
      </c>
      <c r="F899" s="2"/>
      <c r="G899" s="187" t="e">
        <f>+VLOOKUP(Table_1[[#This Row],[Account]],BV_Data_An_Cour!$L:$Q,6,0)</f>
        <v>#N/A</v>
      </c>
      <c r="H899" s="160"/>
    </row>
    <row r="900" spans="1:11" ht="15" customHeight="1">
      <c r="A900" s="474" t="s">
        <v>1653</v>
      </c>
      <c r="B900" s="482" t="s">
        <v>1652</v>
      </c>
      <c r="C900" s="159" t="s">
        <v>1911</v>
      </c>
      <c r="D900" s="159" t="s">
        <v>156</v>
      </c>
      <c r="E900" s="187" t="s">
        <v>285</v>
      </c>
      <c r="F900" s="2"/>
      <c r="G900" s="187" t="str">
        <f>+VLOOKUP(Table_1[[#This Row],[Account]],BV_Data_An_Cour!$L:$Q,6,0)</f>
        <v>6-Coût des ventes</v>
      </c>
      <c r="H900" s="160"/>
    </row>
    <row r="901" spans="1:11" ht="15" customHeight="1">
      <c r="A901" s="162" t="s">
        <v>1636</v>
      </c>
      <c r="B901" s="163" t="s">
        <v>1635</v>
      </c>
      <c r="C901" s="159" t="s">
        <v>1911</v>
      </c>
      <c r="D901" s="159" t="s">
        <v>156</v>
      </c>
      <c r="E901" s="187" t="s">
        <v>285</v>
      </c>
      <c r="F901" s="2"/>
      <c r="G901" s="187" t="str">
        <f>+VLOOKUP(Table_1[[#This Row],[Account]],BV_Data_An_Cour!$L:$Q,6,0)</f>
        <v>6-Coût des ventes</v>
      </c>
      <c r="H901" s="160"/>
    </row>
    <row r="902" spans="1:11" ht="15" customHeight="1">
      <c r="A902" s="162" t="s">
        <v>1804</v>
      </c>
      <c r="B902" s="163" t="s">
        <v>1803</v>
      </c>
      <c r="C902" s="159" t="s">
        <v>167</v>
      </c>
      <c r="D902" s="159" t="s">
        <v>169</v>
      </c>
      <c r="E902" s="187" t="s">
        <v>285</v>
      </c>
      <c r="F902" s="2"/>
      <c r="G902" s="187" t="str">
        <f>+VLOOKUP(Table_1[[#This Row],[Account]],BV_Data_An_Cour!$L:$Q,6,0)</f>
        <v>6-Coût des ventes</v>
      </c>
      <c r="H902" s="160"/>
    </row>
    <row r="903" spans="1:11" ht="15" customHeight="1">
      <c r="A903" s="162" t="s">
        <v>960</v>
      </c>
      <c r="B903" s="163" t="s">
        <v>1784</v>
      </c>
      <c r="C903" s="159" t="s">
        <v>167</v>
      </c>
      <c r="D903" s="159" t="s">
        <v>169</v>
      </c>
      <c r="E903" s="187" t="s">
        <v>285</v>
      </c>
      <c r="F903" s="2"/>
      <c r="G903" s="187" t="str">
        <f>+VLOOKUP(Table_1[[#This Row],[Account]],BV_Data_An_Cour!$L:$Q,6,0)</f>
        <v>6-Coût des ventes</v>
      </c>
      <c r="H903" s="160"/>
    </row>
    <row r="904" spans="1:11" ht="15" customHeight="1">
      <c r="A904" s="162" t="s">
        <v>880</v>
      </c>
      <c r="B904" s="163" t="s">
        <v>1606</v>
      </c>
      <c r="C904" s="159" t="s">
        <v>167</v>
      </c>
      <c r="D904" s="159" t="s">
        <v>169</v>
      </c>
      <c r="E904" s="187" t="s">
        <v>285</v>
      </c>
      <c r="F904" s="187"/>
      <c r="G904" s="187" t="str">
        <f>+VLOOKUP(Table_1[[#This Row],[Account]],BV_Data_An_Cour!$L:$Q,6,0)</f>
        <v>6-Coût des ventes</v>
      </c>
      <c r="H904" s="160"/>
    </row>
    <row r="905" spans="1:11" ht="15" customHeight="1">
      <c r="A905" s="749" t="s">
        <v>2086</v>
      </c>
      <c r="B905" s="750" t="s">
        <v>2085</v>
      </c>
      <c r="C905" s="159" t="s">
        <v>167</v>
      </c>
      <c r="D905" s="159" t="s">
        <v>170</v>
      </c>
      <c r="E905" s="187" t="s">
        <v>285</v>
      </c>
      <c r="F905" s="2"/>
      <c r="G905" s="187" t="e">
        <f>+VLOOKUP(Table_1[[#This Row],[Account]],BV_Data_An_Cour!$L:$Q,6,0)</f>
        <v>#N/A</v>
      </c>
      <c r="H905" s="160"/>
    </row>
    <row r="906" spans="1:11" ht="15" customHeight="1">
      <c r="A906" s="162" t="s">
        <v>2424</v>
      </c>
      <c r="B906" s="158" t="s">
        <v>2423</v>
      </c>
      <c r="C906" s="159" t="s">
        <v>167</v>
      </c>
      <c r="D906" s="159" t="s">
        <v>170</v>
      </c>
      <c r="E906" s="187" t="s">
        <v>285</v>
      </c>
      <c r="F906" s="160"/>
      <c r="G906" s="493"/>
      <c r="H906" s="160"/>
    </row>
    <row r="907" spans="1:11" ht="15" customHeight="1">
      <c r="A907" s="162" t="s">
        <v>2477</v>
      </c>
      <c r="B907" s="158" t="s">
        <v>2476</v>
      </c>
      <c r="C907" s="159" t="s">
        <v>167</v>
      </c>
      <c r="D907" s="159" t="s">
        <v>170</v>
      </c>
      <c r="E907" s="187" t="s">
        <v>285</v>
      </c>
      <c r="F907" s="2"/>
      <c r="G907" s="187"/>
      <c r="H907" s="160"/>
      <c r="K907" s="2"/>
    </row>
    <row r="908" spans="1:11" ht="15" customHeight="1">
      <c r="A908" s="162" t="s">
        <v>1832</v>
      </c>
      <c r="B908" s="163" t="s">
        <v>1831</v>
      </c>
      <c r="C908" s="159" t="s">
        <v>1893</v>
      </c>
      <c r="D908" s="159" t="s">
        <v>171</v>
      </c>
      <c r="E908" s="187" t="s">
        <v>285</v>
      </c>
      <c r="F908" s="2"/>
      <c r="G908" s="187" t="str">
        <f>+VLOOKUP(Table_1[[#This Row],[Account]],BV_Data_An_Cour!$L:$Q,6,0)</f>
        <v>6-Coût des ventes</v>
      </c>
      <c r="H908" s="160"/>
    </row>
    <row r="909" spans="1:11" ht="15" customHeight="1">
      <c r="A909" s="162" t="s">
        <v>841</v>
      </c>
      <c r="B909" s="163" t="s">
        <v>1826</v>
      </c>
      <c r="C909" s="159" t="s">
        <v>1893</v>
      </c>
      <c r="D909" s="159" t="s">
        <v>171</v>
      </c>
      <c r="E909" s="187" t="s">
        <v>285</v>
      </c>
      <c r="F909" s="2"/>
      <c r="G909" s="187" t="str">
        <f>+VLOOKUP(Table_1[[#This Row],[Account]],BV_Data_An_Cour!$L:$Q,6,0)</f>
        <v>6-Coût des ventes</v>
      </c>
      <c r="H909" s="160"/>
    </row>
    <row r="910" spans="1:11" ht="15" customHeight="1">
      <c r="A910" s="476" t="s">
        <v>954</v>
      </c>
      <c r="B910" s="483" t="s">
        <v>1710</v>
      </c>
      <c r="C910" s="159" t="s">
        <v>1893</v>
      </c>
      <c r="D910" s="159" t="s">
        <v>171</v>
      </c>
      <c r="E910" s="187" t="s">
        <v>285</v>
      </c>
      <c r="F910" s="2"/>
      <c r="G910" s="187" t="str">
        <f>+VLOOKUP(Table_1[[#This Row],[Account]],BV_Data_An_Cour!$L:$Q,6,0)</f>
        <v>6-Coût des ventes</v>
      </c>
      <c r="H910" s="160"/>
    </row>
    <row r="911" spans="1:11" ht="15" customHeight="1">
      <c r="A911" s="168" t="s">
        <v>845</v>
      </c>
      <c r="B911" s="169" t="s">
        <v>1759</v>
      </c>
      <c r="C911" s="159" t="s">
        <v>1893</v>
      </c>
      <c r="D911" s="159" t="s">
        <v>171</v>
      </c>
      <c r="E911" s="187" t="s">
        <v>285</v>
      </c>
      <c r="F911" s="2"/>
      <c r="G911" s="187" t="str">
        <f>+VLOOKUP(Table_1[[#This Row],[Account]],BV_Data_An_Cour!$L:$Q,6,0)</f>
        <v>6-Coût des ventes</v>
      </c>
      <c r="H911" s="160"/>
    </row>
    <row r="912" spans="1:11" ht="15" customHeight="1">
      <c r="A912" s="476" t="s">
        <v>785</v>
      </c>
      <c r="B912" s="483" t="s">
        <v>1614</v>
      </c>
      <c r="C912" s="159" t="s">
        <v>1893</v>
      </c>
      <c r="D912" s="159" t="s">
        <v>171</v>
      </c>
      <c r="E912" s="187" t="s">
        <v>285</v>
      </c>
      <c r="F912" s="2"/>
      <c r="G912" s="187" t="str">
        <f>+VLOOKUP(Table_1[[#This Row],[Account]],BV_Data_An_Cour!$L:$Q,6,0)</f>
        <v>6-Coût des ventes</v>
      </c>
      <c r="H912" s="160"/>
    </row>
    <row r="913" spans="1:11" ht="15" customHeight="1">
      <c r="A913" s="168" t="s">
        <v>676</v>
      </c>
      <c r="B913" s="483" t="s">
        <v>1034</v>
      </c>
      <c r="C913" s="159" t="s">
        <v>1893</v>
      </c>
      <c r="D913" s="159" t="s">
        <v>171</v>
      </c>
      <c r="E913" s="187" t="s">
        <v>285</v>
      </c>
      <c r="F913" s="2"/>
      <c r="G913" s="187" t="str">
        <f>+VLOOKUP(Table_1[[#This Row],[Account]],BV_Data_An_Cour!$L:$Q,6,0)</f>
        <v>6-Coût des ventes</v>
      </c>
      <c r="H913" s="160"/>
    </row>
    <row r="914" spans="1:11" ht="15" customHeight="1">
      <c r="A914" s="162" t="s">
        <v>1755</v>
      </c>
      <c r="B914" s="163" t="s">
        <v>1754</v>
      </c>
      <c r="C914" s="159" t="s">
        <v>1893</v>
      </c>
      <c r="D914" s="159" t="s">
        <v>172</v>
      </c>
      <c r="E914" s="187" t="s">
        <v>285</v>
      </c>
      <c r="F914" s="2"/>
      <c r="G914" s="187" t="str">
        <f>+VLOOKUP(Table_1[[#This Row],[Account]],BV_Data_An_Cour!$L:$Q,6,0)</f>
        <v>6-Coût des ventes</v>
      </c>
      <c r="H914" s="160"/>
    </row>
    <row r="915" spans="1:11" ht="15" customHeight="1">
      <c r="A915" s="162" t="s">
        <v>909</v>
      </c>
      <c r="B915" s="163" t="s">
        <v>1798</v>
      </c>
      <c r="C915" s="159" t="s">
        <v>1893</v>
      </c>
      <c r="D915" s="159" t="s">
        <v>172</v>
      </c>
      <c r="E915" s="187" t="s">
        <v>285</v>
      </c>
      <c r="F915" s="2"/>
      <c r="G915" s="187" t="str">
        <f>+VLOOKUP(Table_1[[#This Row],[Account]],BV_Data_An_Cour!$L:$Q,6,0)</f>
        <v>6-Coût des ventes</v>
      </c>
      <c r="H915" s="160"/>
    </row>
    <row r="916" spans="1:11" ht="15" customHeight="1">
      <c r="A916" s="168" t="s">
        <v>678</v>
      </c>
      <c r="B916" s="169" t="s">
        <v>677</v>
      </c>
      <c r="C916" s="159" t="s">
        <v>1893</v>
      </c>
      <c r="D916" s="159" t="s">
        <v>172</v>
      </c>
      <c r="E916" s="187" t="s">
        <v>285</v>
      </c>
      <c r="G916" s="187" t="str">
        <f>+VLOOKUP(Table_1[[#This Row],[Account]],BV_Data_An_Cour!$L:$Q,6,0)</f>
        <v>6-Coût des ventes</v>
      </c>
      <c r="H916" s="160"/>
    </row>
    <row r="917" spans="1:11" ht="15" customHeight="1">
      <c r="A917" s="162" t="s">
        <v>1808</v>
      </c>
      <c r="B917" s="163" t="s">
        <v>1807</v>
      </c>
      <c r="C917" s="159" t="s">
        <v>1893</v>
      </c>
      <c r="D917" s="159" t="s">
        <v>173</v>
      </c>
      <c r="E917" s="187" t="s">
        <v>285</v>
      </c>
      <c r="F917" s="2"/>
      <c r="G917" s="187" t="str">
        <f>+VLOOKUP(Table_1[[#This Row],[Account]],BV_Data_An_Cour!$L:$Q,6,0)</f>
        <v>6-Coût des ventes</v>
      </c>
      <c r="H917" s="160"/>
    </row>
    <row r="918" spans="1:11" ht="15" customHeight="1">
      <c r="A918" s="162" t="s">
        <v>874</v>
      </c>
      <c r="B918" s="163" t="s">
        <v>1699</v>
      </c>
      <c r="C918" s="159" t="s">
        <v>1893</v>
      </c>
      <c r="D918" s="159" t="s">
        <v>173</v>
      </c>
      <c r="E918" s="187" t="s">
        <v>285</v>
      </c>
      <c r="F918" s="2"/>
      <c r="G918" s="187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62" t="s">
        <v>969</v>
      </c>
      <c r="B919" s="163" t="s">
        <v>1800</v>
      </c>
      <c r="C919" s="159" t="s">
        <v>1893</v>
      </c>
      <c r="D919" s="159" t="s">
        <v>173</v>
      </c>
      <c r="E919" s="187" t="s">
        <v>285</v>
      </c>
      <c r="F919" s="2"/>
      <c r="G919" s="187" t="str">
        <f>+VLOOKUP(Table_1[[#This Row],[Account]],BV_Data_An_Cour!$L:$Q,6,0)</f>
        <v>6-Coût des ventes</v>
      </c>
      <c r="H919" s="160"/>
    </row>
    <row r="920" spans="1:11" ht="15" customHeight="1">
      <c r="A920" s="474" t="s">
        <v>1681</v>
      </c>
      <c r="B920" s="482" t="s">
        <v>1680</v>
      </c>
      <c r="C920" s="159" t="s">
        <v>1893</v>
      </c>
      <c r="D920" s="159" t="s">
        <v>174</v>
      </c>
      <c r="E920" s="187" t="s">
        <v>285</v>
      </c>
      <c r="F920" s="2"/>
      <c r="G920" s="187" t="str">
        <f>+VLOOKUP(Table_1[[#This Row],[Account]],BV_Data_An_Cour!$L:$Q,6,0)</f>
        <v>6-Coût des ventes</v>
      </c>
      <c r="H920" s="160"/>
    </row>
    <row r="921" spans="1:11" ht="15" customHeight="1">
      <c r="A921" s="162" t="s">
        <v>903</v>
      </c>
      <c r="B921" s="163" t="s">
        <v>1872</v>
      </c>
      <c r="C921" s="159" t="s">
        <v>167</v>
      </c>
      <c r="D921" s="159" t="s">
        <v>174</v>
      </c>
      <c r="E921" s="187" t="s">
        <v>285</v>
      </c>
      <c r="F921" s="2"/>
      <c r="G921" s="187" t="e">
        <f>+VLOOKUP(Table_1[[#This Row],[Account]],BV_Data_An_Cour!$L:$Q,6,0)</f>
        <v>#N/A</v>
      </c>
      <c r="H921" s="160"/>
    </row>
    <row r="922" spans="1:11" ht="15" customHeight="1">
      <c r="A922" s="162" t="s">
        <v>2842</v>
      </c>
      <c r="B922" s="158" t="s">
        <v>2850</v>
      </c>
      <c r="C922" s="159" t="s">
        <v>167</v>
      </c>
      <c r="D922" s="159" t="s">
        <v>174</v>
      </c>
      <c r="E922" s="187" t="s">
        <v>285</v>
      </c>
      <c r="F922" s="160"/>
      <c r="G922" s="493"/>
      <c r="H922" s="160"/>
    </row>
    <row r="923" spans="1:11" ht="15" customHeight="1">
      <c r="A923" s="162" t="s">
        <v>2224</v>
      </c>
      <c r="B923" s="158" t="s">
        <v>2223</v>
      </c>
      <c r="C923" s="159" t="s">
        <v>167</v>
      </c>
      <c r="D923" s="159" t="s">
        <v>176</v>
      </c>
      <c r="E923" s="187" t="s">
        <v>285</v>
      </c>
      <c r="F923" s="160"/>
      <c r="G923" s="493"/>
      <c r="H923" s="160"/>
    </row>
    <row r="924" spans="1:11" ht="15" customHeight="1">
      <c r="A924" s="481" t="s">
        <v>1205</v>
      </c>
      <c r="B924" s="481" t="s">
        <v>1204</v>
      </c>
      <c r="C924" s="159" t="s">
        <v>1893</v>
      </c>
      <c r="D924" s="159" t="s">
        <v>175</v>
      </c>
      <c r="E924" s="187" t="s">
        <v>285</v>
      </c>
      <c r="F924" s="187"/>
      <c r="G924" s="187" t="str">
        <f>+VLOOKUP(Table_1[[#This Row],[Account]],BV_Data_An_Cour!$L:$Q,6,0)</f>
        <v>6-Coût des ventes</v>
      </c>
      <c r="H924" s="160"/>
      <c r="K924" s="2"/>
    </row>
    <row r="925" spans="1:11" ht="15" customHeight="1">
      <c r="A925" s="479" t="s">
        <v>1462</v>
      </c>
      <c r="B925" s="478" t="s">
        <v>1461</v>
      </c>
      <c r="C925" s="159" t="s">
        <v>75</v>
      </c>
      <c r="D925" s="159" t="s">
        <v>241</v>
      </c>
      <c r="E925" s="187" t="s">
        <v>285</v>
      </c>
      <c r="F925" s="187"/>
      <c r="G925" s="187" t="e">
        <f>+VLOOKUP(Table_1[[#This Row],[Account]],BV_Data_An_Cour!$L:$Q,6,0)</f>
        <v>#N/A</v>
      </c>
      <c r="H925" s="160"/>
    </row>
    <row r="926" spans="1:11" ht="15" customHeight="1">
      <c r="A926" s="170" t="s">
        <v>1464</v>
      </c>
      <c r="B926" s="171" t="s">
        <v>1463</v>
      </c>
      <c r="C926" s="159" t="s">
        <v>140</v>
      </c>
      <c r="D926" s="159" t="s">
        <v>241</v>
      </c>
      <c r="E926" s="187" t="s">
        <v>285</v>
      </c>
      <c r="F926" s="187"/>
      <c r="G926" s="187" t="e">
        <f>+VLOOKUP(Table_1[[#This Row],[Account]],BV_Data_An_Cour!$L:$Q,6,0)</f>
        <v>#N/A</v>
      </c>
      <c r="H926" s="160"/>
    </row>
    <row r="927" spans="1:11" ht="15" customHeight="1">
      <c r="A927" s="474" t="s">
        <v>1466</v>
      </c>
      <c r="B927" s="482" t="s">
        <v>1465</v>
      </c>
      <c r="C927" s="159" t="s">
        <v>147</v>
      </c>
      <c r="D927" s="159" t="s">
        <v>241</v>
      </c>
      <c r="E927" s="187" t="s">
        <v>285</v>
      </c>
      <c r="F927" s="187"/>
      <c r="G927" s="187" t="e">
        <f>+VLOOKUP(Table_1[[#This Row],[Account]],BV_Data_An_Cour!$L:$Q,6,0)</f>
        <v>#N/A</v>
      </c>
      <c r="H927" s="160"/>
      <c r="K927" s="2"/>
    </row>
    <row r="928" spans="1:11" ht="15" customHeight="1">
      <c r="A928" s="157" t="s">
        <v>1468</v>
      </c>
      <c r="B928" s="480" t="s">
        <v>1467</v>
      </c>
      <c r="C928" s="159" t="s">
        <v>1893</v>
      </c>
      <c r="D928" s="159" t="s">
        <v>241</v>
      </c>
      <c r="E928" s="187" t="s">
        <v>285</v>
      </c>
      <c r="F928" s="187"/>
      <c r="G928" s="187" t="e">
        <f>+VLOOKUP(Table_1[[#This Row],[Account]],BV_Data_An_Cour!$L:$Q,6,0)</f>
        <v>#N/A</v>
      </c>
      <c r="H928" s="160"/>
    </row>
    <row r="929" spans="1:29" ht="15" customHeight="1">
      <c r="A929" s="157" t="s">
        <v>1470</v>
      </c>
      <c r="B929" s="480" t="s">
        <v>1469</v>
      </c>
      <c r="C929" s="159" t="s">
        <v>1894</v>
      </c>
      <c r="D929" s="159" t="s">
        <v>241</v>
      </c>
      <c r="E929" s="187" t="s">
        <v>285</v>
      </c>
      <c r="F929" s="2"/>
      <c r="G929" s="187" t="e">
        <f>+VLOOKUP(Table_1[[#This Row],[Account]],BV_Data_An_Cour!$L:$Q,6,0)</f>
        <v>#N/A</v>
      </c>
      <c r="H929" s="160"/>
    </row>
    <row r="930" spans="1:29" ht="15" customHeight="1">
      <c r="A930" s="162" t="s">
        <v>364</v>
      </c>
      <c r="B930" s="163" t="s">
        <v>1065</v>
      </c>
      <c r="C930" s="159" t="s">
        <v>75</v>
      </c>
      <c r="D930" s="159" t="s">
        <v>87</v>
      </c>
      <c r="E930" s="187" t="s">
        <v>285</v>
      </c>
      <c r="F930" s="2"/>
      <c r="G930" s="187" t="e">
        <f>+VLOOKUP(Table_1[[#This Row],[Account]],BV_Data_An_Cour!$L:$Q,6,0)</f>
        <v>#N/A</v>
      </c>
      <c r="H930" s="160"/>
    </row>
    <row r="931" spans="1:29" ht="15" customHeight="1">
      <c r="A931" s="474" t="s">
        <v>680</v>
      </c>
      <c r="B931" s="482" t="s">
        <v>679</v>
      </c>
      <c r="C931" s="159" t="s">
        <v>75</v>
      </c>
      <c r="D931" s="159" t="s">
        <v>87</v>
      </c>
      <c r="E931" s="187" t="s">
        <v>285</v>
      </c>
      <c r="F931" s="2"/>
      <c r="G931" s="187" t="s">
        <v>2014</v>
      </c>
      <c r="H931" s="160"/>
    </row>
    <row r="932" spans="1:29" ht="15" customHeight="1">
      <c r="A932" s="162" t="s">
        <v>2521</v>
      </c>
      <c r="B932" s="158" t="s">
        <v>2520</v>
      </c>
      <c r="C932" s="159" t="s">
        <v>75</v>
      </c>
      <c r="D932" s="159" t="s">
        <v>87</v>
      </c>
      <c r="E932" s="187" t="s">
        <v>285</v>
      </c>
      <c r="F932" s="160"/>
      <c r="G932" s="493"/>
      <c r="H932" s="160"/>
    </row>
    <row r="933" spans="1:29" ht="15" customHeight="1">
      <c r="A933" s="162" t="s">
        <v>2522</v>
      </c>
      <c r="B933" s="158" t="s">
        <v>2518</v>
      </c>
      <c r="C933" s="159" t="s">
        <v>75</v>
      </c>
      <c r="D933" s="159" t="s">
        <v>87</v>
      </c>
      <c r="E933" s="187" t="s">
        <v>285</v>
      </c>
      <c r="F933" s="160"/>
      <c r="G933" s="493"/>
      <c r="H933" s="160"/>
    </row>
    <row r="934" spans="1:29" ht="15" customHeight="1">
      <c r="A934" s="162" t="s">
        <v>2851</v>
      </c>
      <c r="B934" s="158" t="s">
        <v>2846</v>
      </c>
      <c r="C934" s="159" t="s">
        <v>75</v>
      </c>
      <c r="D934" s="159" t="s">
        <v>87</v>
      </c>
      <c r="E934" s="187" t="s">
        <v>285</v>
      </c>
      <c r="F934" s="160"/>
      <c r="G934" s="493"/>
      <c r="H934" s="160"/>
    </row>
    <row r="935" spans="1:29" ht="15" customHeight="1">
      <c r="A935" s="474" t="s">
        <v>972</v>
      </c>
      <c r="B935" s="482" t="s">
        <v>970</v>
      </c>
      <c r="C935" s="159" t="s">
        <v>1893</v>
      </c>
      <c r="D935" s="159" t="s">
        <v>178</v>
      </c>
      <c r="E935" s="187" t="s">
        <v>285</v>
      </c>
      <c r="F935" s="2"/>
      <c r="G935" s="187" t="str">
        <f>+VLOOKUP(Table_1[[#This Row],[Account]],BV_Data_An_Cour!$L:$Q,6,0)</f>
        <v>6-Coût des ventes</v>
      </c>
      <c r="H935" s="160"/>
    </row>
    <row r="936" spans="1:29" ht="15" customHeight="1">
      <c r="A936" s="474" t="s">
        <v>927</v>
      </c>
      <c r="B936" s="482" t="s">
        <v>1763</v>
      </c>
      <c r="C936" s="159" t="s">
        <v>1893</v>
      </c>
      <c r="D936" s="159" t="s">
        <v>179</v>
      </c>
      <c r="E936" s="187" t="s">
        <v>285</v>
      </c>
      <c r="F936" s="2"/>
      <c r="G936" s="187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1752</v>
      </c>
      <c r="B937" s="163" t="s">
        <v>1751</v>
      </c>
      <c r="C937" s="159" t="s">
        <v>1893</v>
      </c>
      <c r="D937" s="159" t="s">
        <v>179</v>
      </c>
      <c r="E937" s="187" t="s">
        <v>285</v>
      </c>
      <c r="F937" s="2"/>
      <c r="G937" s="187" t="str">
        <f>+VLOOKUP(Table_1[[#This Row],[Account]],BV_Data_An_Cour!$L:$Q,6,0)</f>
        <v>6-Coût des ventes</v>
      </c>
      <c r="H937" s="160"/>
    </row>
    <row r="938" spans="1:29" ht="15" customHeight="1">
      <c r="A938" s="157" t="s">
        <v>896</v>
      </c>
      <c r="B938" s="158" t="s">
        <v>1639</v>
      </c>
      <c r="C938" s="159" t="s">
        <v>75</v>
      </c>
      <c r="D938" s="159" t="s">
        <v>1904</v>
      </c>
      <c r="E938" s="187" t="s">
        <v>285</v>
      </c>
      <c r="F938" s="2"/>
      <c r="G938" s="187" t="e">
        <f>+VLOOKUP(Table_1[[#This Row],[Account]],BV_Data_An_Cour!$L:$Q,6,0)</f>
        <v>#N/A</v>
      </c>
      <c r="H938" s="160"/>
    </row>
    <row r="939" spans="1:29" ht="15" customHeight="1">
      <c r="A939" s="162" t="s">
        <v>893</v>
      </c>
      <c r="B939" s="163" t="s">
        <v>1649</v>
      </c>
      <c r="C939" s="159" t="s">
        <v>140</v>
      </c>
      <c r="D939" s="159" t="s">
        <v>1904</v>
      </c>
      <c r="E939" s="187" t="s">
        <v>285</v>
      </c>
      <c r="F939" s="2"/>
      <c r="G939" s="187" t="str">
        <f>+VLOOKUP(Table_1[[#This Row],[Account]],BV_Data_An_Cour!$L:$Q,6,0)</f>
        <v>7-Dépenses</v>
      </c>
      <c r="H939" s="160"/>
    </row>
    <row r="940" spans="1:29" ht="15" customHeight="1">
      <c r="A940" s="474" t="s">
        <v>929</v>
      </c>
      <c r="B940" s="482" t="s">
        <v>1113</v>
      </c>
      <c r="C940" s="159" t="s">
        <v>147</v>
      </c>
      <c r="D940" s="159" t="s">
        <v>1905</v>
      </c>
      <c r="E940" s="187" t="s">
        <v>285</v>
      </c>
      <c r="F940" s="2"/>
      <c r="G940" s="187" t="str">
        <f>+VLOOKUP(Table_1[[#This Row],[Account]],BV_Data_An_Cour!$L:$Q,6,0)</f>
        <v>7-Dépenses</v>
      </c>
      <c r="H940" s="160"/>
    </row>
    <row r="941" spans="1:29" ht="15" customHeight="1">
      <c r="A941" s="479" t="s">
        <v>873</v>
      </c>
      <c r="B941" s="478" t="s">
        <v>1638</v>
      </c>
      <c r="C941" s="159" t="s">
        <v>1893</v>
      </c>
      <c r="D941" s="159" t="s">
        <v>1905</v>
      </c>
      <c r="E941" s="187" t="s">
        <v>285</v>
      </c>
      <c r="F941" s="2"/>
      <c r="G941" s="187" t="e">
        <f>+VLOOKUP(Table_1[[#This Row],[Account]],BV_Data_An_Cour!$L:$Q,6,0)</f>
        <v>#N/A</v>
      </c>
      <c r="H941" s="160"/>
    </row>
    <row r="942" spans="1:29" ht="15" customHeight="1">
      <c r="A942" s="476" t="s">
        <v>686</v>
      </c>
      <c r="B942" s="483" t="s">
        <v>1471</v>
      </c>
      <c r="C942" s="159" t="s">
        <v>1894</v>
      </c>
      <c r="D942" s="159" t="s">
        <v>1905</v>
      </c>
      <c r="E942" s="187" t="s">
        <v>285</v>
      </c>
      <c r="F942" s="2"/>
      <c r="G942" s="187" t="e">
        <f>+VLOOKUP(Table_1[[#This Row],[Account]],BV_Data_An_Cour!$L:$Q,6,0)</f>
        <v>#N/A</v>
      </c>
      <c r="H942" s="160"/>
    </row>
    <row r="943" spans="1:29" ht="15" customHeight="1">
      <c r="A943" s="163" t="s">
        <v>383</v>
      </c>
      <c r="B943" s="482" t="s">
        <v>1234</v>
      </c>
      <c r="C943" s="159" t="s">
        <v>1894</v>
      </c>
      <c r="D943" s="159" t="s">
        <v>164</v>
      </c>
      <c r="E943" s="187" t="s">
        <v>285</v>
      </c>
      <c r="F943" s="187"/>
      <c r="G943" s="187" t="e">
        <f>+VLOOKUP(Table_1[[#This Row],[Account]],BV_Data_An_Cour!$L:$Q,6,0)</f>
        <v>#N/A</v>
      </c>
      <c r="H943" s="160"/>
    </row>
    <row r="944" spans="1:29" ht="15" customHeight="1">
      <c r="A944" s="474" t="s">
        <v>913</v>
      </c>
      <c r="B944" s="482" t="s">
        <v>1640</v>
      </c>
      <c r="C944" s="159" t="s">
        <v>75</v>
      </c>
      <c r="D944" s="159" t="s">
        <v>1902</v>
      </c>
      <c r="E944" s="187" t="s">
        <v>285</v>
      </c>
      <c r="F944" s="2"/>
      <c r="G944" s="187" t="str">
        <f>+VLOOKUP(Table_1[[#This Row],[Account]],BV_Data_An_Cour!$L:$Q,6,0)</f>
        <v>7-Dépenses</v>
      </c>
      <c r="H944" s="160"/>
    </row>
    <row r="945" spans="1:15" ht="15" customHeight="1">
      <c r="A945" s="162" t="s">
        <v>876</v>
      </c>
      <c r="B945" s="163" t="s">
        <v>1631</v>
      </c>
      <c r="C945" s="159" t="s">
        <v>140</v>
      </c>
      <c r="D945" s="159" t="s">
        <v>1902</v>
      </c>
      <c r="E945" s="187" t="s">
        <v>285</v>
      </c>
      <c r="F945" s="2"/>
      <c r="G945" s="187" t="str">
        <f>+VLOOKUP(Table_1[[#This Row],[Account]],BV_Data_An_Cour!$L:$Q,6,0)</f>
        <v>7-Dépenses</v>
      </c>
      <c r="H945" s="160"/>
    </row>
    <row r="946" spans="1:15" ht="15" customHeight="1">
      <c r="A946" s="162" t="s">
        <v>931</v>
      </c>
      <c r="B946" s="163" t="s">
        <v>1766</v>
      </c>
      <c r="C946" s="159" t="s">
        <v>147</v>
      </c>
      <c r="D946" s="159" t="s">
        <v>1902</v>
      </c>
      <c r="E946" s="187" t="s">
        <v>285</v>
      </c>
      <c r="F946" s="2"/>
      <c r="G946" s="187" t="str">
        <f>+VLOOKUP(Table_1[[#This Row],[Account]],BV_Data_An_Cour!$L:$Q,6,0)</f>
        <v>7-Dépenses</v>
      </c>
      <c r="H946" s="160"/>
    </row>
    <row r="947" spans="1:15" ht="15" customHeight="1">
      <c r="A947" s="168" t="s">
        <v>884</v>
      </c>
      <c r="B947" s="169" t="s">
        <v>1669</v>
      </c>
      <c r="C947" s="159" t="s">
        <v>1893</v>
      </c>
      <c r="D947" s="159" t="s">
        <v>1902</v>
      </c>
      <c r="E947" s="187" t="s">
        <v>285</v>
      </c>
      <c r="F947" s="2"/>
      <c r="G947" s="187" t="str">
        <f>+VLOOKUP(Table_1[[#This Row],[Account]],BV_Data_An_Cour!$L:$Q,6,0)</f>
        <v>7-Dépenses</v>
      </c>
      <c r="H947" s="160"/>
      <c r="M947" s="2"/>
      <c r="N947" s="2"/>
      <c r="O947" s="2"/>
    </row>
    <row r="948" spans="1:15" ht="15" customHeight="1">
      <c r="A948" s="168" t="s">
        <v>854</v>
      </c>
      <c r="B948" s="169" t="s">
        <v>1241</v>
      </c>
      <c r="C948" s="159" t="s">
        <v>1894</v>
      </c>
      <c r="D948" s="159" t="s">
        <v>1902</v>
      </c>
      <c r="E948" s="187" t="s">
        <v>285</v>
      </c>
      <c r="F948" s="2"/>
      <c r="G948" s="187" t="e">
        <f>+VLOOKUP(Table_1[[#This Row],[Account]],BV_Data_An_Cour!$L:$Q,6,0)</f>
        <v>#N/A</v>
      </c>
      <c r="H948" s="160"/>
    </row>
    <row r="949" spans="1:15" ht="15" customHeight="1">
      <c r="A949" s="162" t="s">
        <v>959</v>
      </c>
      <c r="B949" s="163" t="s">
        <v>1750</v>
      </c>
      <c r="C949" s="159" t="s">
        <v>75</v>
      </c>
      <c r="D949" s="159" t="s">
        <v>1903</v>
      </c>
      <c r="E949" s="187" t="s">
        <v>285</v>
      </c>
      <c r="F949" s="2"/>
      <c r="G949" s="187" t="str">
        <f>+VLOOKUP(Table_1[[#This Row],[Account]],BV_Data_An_Cour!$L:$Q,6,0)</f>
        <v>7-Dépenses</v>
      </c>
      <c r="H949" s="160"/>
    </row>
    <row r="950" spans="1:15" ht="15" customHeight="1">
      <c r="A950" s="474" t="s">
        <v>851</v>
      </c>
      <c r="B950" s="482" t="s">
        <v>1674</v>
      </c>
      <c r="C950" s="159" t="s">
        <v>140</v>
      </c>
      <c r="D950" s="159" t="s">
        <v>1903</v>
      </c>
      <c r="E950" s="187" t="s">
        <v>285</v>
      </c>
      <c r="F950" s="2"/>
      <c r="G950" s="187" t="str">
        <f>+VLOOKUP(Table_1[[#This Row],[Account]],BV_Data_An_Cour!$L:$Q,6,0)</f>
        <v>7-Dépenses</v>
      </c>
      <c r="H950" s="160"/>
    </row>
    <row r="951" spans="1:15" ht="15" customHeight="1">
      <c r="A951" s="474" t="s">
        <v>933</v>
      </c>
      <c r="B951" s="482" t="s">
        <v>1799</v>
      </c>
      <c r="C951" s="159" t="s">
        <v>147</v>
      </c>
      <c r="D951" s="159" t="s">
        <v>1903</v>
      </c>
      <c r="E951" s="187" t="s">
        <v>285</v>
      </c>
      <c r="F951" s="2"/>
      <c r="G951" s="187" t="str">
        <f>+VLOOKUP(Table_1[[#This Row],[Account]],BV_Data_An_Cour!$L:$Q,6,0)</f>
        <v>7-Dépenses</v>
      </c>
      <c r="H951" s="160"/>
    </row>
    <row r="952" spans="1:15" ht="15" customHeight="1">
      <c r="A952" s="474" t="s">
        <v>920</v>
      </c>
      <c r="B952" s="482" t="s">
        <v>1734</v>
      </c>
      <c r="C952" s="159" t="s">
        <v>1893</v>
      </c>
      <c r="D952" s="159" t="s">
        <v>1903</v>
      </c>
      <c r="E952" s="187" t="s">
        <v>285</v>
      </c>
      <c r="F952" s="2"/>
      <c r="G952" s="187" t="str">
        <f>+VLOOKUP(Table_1[[#This Row],[Account]],BV_Data_An_Cour!$L:$Q,6,0)</f>
        <v>7-Dépenses</v>
      </c>
      <c r="H952" s="160"/>
    </row>
    <row r="953" spans="1:15" ht="15" customHeight="1">
      <c r="A953" s="476" t="s">
        <v>809</v>
      </c>
      <c r="B953" s="483" t="s">
        <v>1629</v>
      </c>
      <c r="C953" s="159" t="s">
        <v>1894</v>
      </c>
      <c r="D953" s="159" t="s">
        <v>1903</v>
      </c>
      <c r="E953" s="187" t="s">
        <v>285</v>
      </c>
      <c r="F953" s="2"/>
      <c r="G953" s="187" t="e">
        <f>+VLOOKUP(Table_1[[#This Row],[Account]],BV_Data_An_Cour!$L:$Q,6,0)</f>
        <v>#N/A</v>
      </c>
      <c r="H953" s="160"/>
    </row>
    <row r="954" spans="1:15" ht="15" customHeight="1">
      <c r="A954" s="162" t="s">
        <v>2843</v>
      </c>
      <c r="B954" s="158" t="s">
        <v>2854</v>
      </c>
      <c r="C954" s="159" t="s">
        <v>167</v>
      </c>
      <c r="D954" s="159" t="s">
        <v>123</v>
      </c>
      <c r="E954" s="187" t="s">
        <v>285</v>
      </c>
      <c r="F954" s="160"/>
      <c r="G954" s="493"/>
      <c r="H954" s="160"/>
    </row>
    <row r="955" spans="1:15" ht="15" customHeight="1">
      <c r="A955" s="474" t="s">
        <v>800</v>
      </c>
      <c r="B955" s="482" t="s">
        <v>1156</v>
      </c>
      <c r="C955" s="159" t="s">
        <v>75</v>
      </c>
      <c r="D955" s="159" t="s">
        <v>122</v>
      </c>
      <c r="E955" s="187" t="s">
        <v>285</v>
      </c>
      <c r="F955" s="2"/>
      <c r="G955" s="187" t="str">
        <f>+VLOOKUP(Table_1[[#This Row],[Account]],BV_Data_An_Cour!$L:$Q,6,0)</f>
        <v>7-Dépenses</v>
      </c>
      <c r="H955" s="160"/>
    </row>
    <row r="956" spans="1:15" ht="15" customHeight="1">
      <c r="A956" s="168" t="s">
        <v>796</v>
      </c>
      <c r="B956" s="169" t="s">
        <v>1201</v>
      </c>
      <c r="C956" s="159" t="s">
        <v>140</v>
      </c>
      <c r="D956" s="159" t="s">
        <v>122</v>
      </c>
      <c r="E956" s="187" t="s">
        <v>285</v>
      </c>
      <c r="F956" s="2"/>
      <c r="G956" s="187" t="str">
        <f>+VLOOKUP(Table_1[[#This Row],[Account]],BV_Data_An_Cour!$L:$Q,6,0)</f>
        <v>7-Dépenses</v>
      </c>
      <c r="H956" s="160"/>
    </row>
    <row r="957" spans="1:15" ht="15" customHeight="1">
      <c r="A957" s="476" t="s">
        <v>790</v>
      </c>
      <c r="B957" s="483" t="s">
        <v>1182</v>
      </c>
      <c r="C957" s="159" t="s">
        <v>147</v>
      </c>
      <c r="D957" s="159" t="s">
        <v>122</v>
      </c>
      <c r="E957" s="187" t="s">
        <v>285</v>
      </c>
      <c r="F957" s="2"/>
      <c r="G957" s="187" t="str">
        <f>+VLOOKUP(Table_1[[#This Row],[Account]],BV_Data_An_Cour!$L:$Q,6,0)</f>
        <v>7-Dépenses</v>
      </c>
      <c r="H957" s="160"/>
    </row>
    <row r="958" spans="1:15" ht="15" customHeight="1">
      <c r="A958" s="474" t="s">
        <v>778</v>
      </c>
      <c r="B958" s="482" t="s">
        <v>1180</v>
      </c>
      <c r="C958" s="159" t="s">
        <v>1893</v>
      </c>
      <c r="D958" s="159" t="s">
        <v>122</v>
      </c>
      <c r="E958" s="187" t="s">
        <v>285</v>
      </c>
      <c r="F958" s="2"/>
      <c r="G958" s="187" t="str">
        <f>+VLOOKUP(Table_1[[#This Row],[Account]],BV_Data_An_Cour!$L:$Q,6,0)</f>
        <v>7-Dépenses</v>
      </c>
      <c r="H958" s="160"/>
    </row>
    <row r="959" spans="1:15" ht="15" customHeight="1">
      <c r="A959" s="168" t="s">
        <v>766</v>
      </c>
      <c r="B959" s="1194" t="s">
        <v>1223</v>
      </c>
      <c r="C959" s="159" t="s">
        <v>1894</v>
      </c>
      <c r="D959" s="159" t="s">
        <v>122</v>
      </c>
      <c r="E959" s="187" t="s">
        <v>285</v>
      </c>
      <c r="F959" s="2"/>
      <c r="G959" s="187" t="e">
        <f>+VLOOKUP(Table_1[[#This Row],[Account]],BV_Data_An_Cour!$L:$Q,6,0)</f>
        <v>#N/A</v>
      </c>
      <c r="H959" s="160"/>
    </row>
    <row r="960" spans="1:15" ht="15" customHeight="1">
      <c r="A960" s="163" t="s">
        <v>808</v>
      </c>
      <c r="B960" s="163" t="s">
        <v>1233</v>
      </c>
      <c r="C960" s="159" t="s">
        <v>75</v>
      </c>
      <c r="D960" s="159" t="s">
        <v>1899</v>
      </c>
      <c r="E960" s="187" t="s">
        <v>285</v>
      </c>
      <c r="F960" s="2"/>
      <c r="G960" s="187" t="str">
        <f>+VLOOKUP(Table_1[[#This Row],[Account]],BV_Data_An_Cour!$L:$Q,6,0)</f>
        <v>7-Dépenses</v>
      </c>
      <c r="H960" s="160"/>
    </row>
    <row r="961" spans="1:29" ht="15" customHeight="1">
      <c r="A961" s="168" t="s">
        <v>776</v>
      </c>
      <c r="B961" s="169" t="s">
        <v>1239</v>
      </c>
      <c r="C961" s="159" t="s">
        <v>140</v>
      </c>
      <c r="D961" s="159" t="s">
        <v>1899</v>
      </c>
      <c r="E961" s="187" t="s">
        <v>285</v>
      </c>
      <c r="F961" s="2"/>
      <c r="G961" s="187" t="str">
        <f>+VLOOKUP(Table_1[[#This Row],[Account]],BV_Data_An_Cour!$L:$Q,6,0)</f>
        <v>7-Dépenses</v>
      </c>
      <c r="H961" s="160"/>
    </row>
    <row r="962" spans="1:29" ht="15" customHeight="1">
      <c r="A962" s="477" t="s">
        <v>794</v>
      </c>
      <c r="B962" s="481" t="s">
        <v>1236</v>
      </c>
      <c r="C962" s="159" t="s">
        <v>147</v>
      </c>
      <c r="D962" s="1203" t="s">
        <v>1899</v>
      </c>
      <c r="E962" s="187" t="s">
        <v>285</v>
      </c>
      <c r="F962" s="2"/>
      <c r="G962" s="187" t="e">
        <f>+VLOOKUP(Table_1[[#This Row],[Account]],BV_Data_An_Cour!$L:$Q,6,0)</f>
        <v>#N/A</v>
      </c>
      <c r="H962" s="160"/>
    </row>
    <row r="963" spans="1:29" ht="15" customHeight="1">
      <c r="A963" s="476" t="s">
        <v>792</v>
      </c>
      <c r="B963" s="483" t="s">
        <v>1237</v>
      </c>
      <c r="C963" s="159" t="s">
        <v>1893</v>
      </c>
      <c r="D963" s="159" t="s">
        <v>1899</v>
      </c>
      <c r="E963" s="187" t="s">
        <v>285</v>
      </c>
      <c r="F963" s="2"/>
      <c r="G963" s="187" t="e">
        <f>+VLOOKUP(Table_1[[#This Row],[Account]],BV_Data_An_Cour!$L:$Q,6,0)</f>
        <v>#N/A</v>
      </c>
      <c r="H963" s="160"/>
    </row>
    <row r="964" spans="1:29" ht="15" customHeight="1">
      <c r="A964" s="476" t="s">
        <v>768</v>
      </c>
      <c r="B964" s="483" t="s">
        <v>1242</v>
      </c>
      <c r="C964" s="159" t="s">
        <v>1894</v>
      </c>
      <c r="D964" s="159" t="s">
        <v>1899</v>
      </c>
      <c r="E964" s="187" t="s">
        <v>285</v>
      </c>
      <c r="F964" s="2"/>
      <c r="G964" s="187" t="e">
        <f>+VLOOKUP(Table_1[[#This Row],[Account]],BV_Data_An_Cour!$L:$Q,6,0)</f>
        <v>#N/A</v>
      </c>
      <c r="H964" s="160"/>
    </row>
    <row r="965" spans="1:29" ht="15" customHeight="1">
      <c r="A965" s="474" t="s">
        <v>926</v>
      </c>
      <c r="B965" s="482" t="s">
        <v>1730</v>
      </c>
      <c r="C965" s="159" t="s">
        <v>75</v>
      </c>
      <c r="D965" s="159" t="s">
        <v>1901</v>
      </c>
      <c r="E965" s="187" t="s">
        <v>285</v>
      </c>
      <c r="F965" s="2"/>
      <c r="G965" s="187" t="str">
        <f>+VLOOKUP(Table_1[[#This Row],[Account]],BV_Data_An_Cour!$L:$Q,6,0)</f>
        <v>7-Dépenses</v>
      </c>
      <c r="H965" s="160"/>
    </row>
    <row r="966" spans="1:29" ht="15" customHeight="1">
      <c r="A966" s="163" t="s">
        <v>863</v>
      </c>
      <c r="B966" s="482" t="s">
        <v>1667</v>
      </c>
      <c r="C966" s="159" t="s">
        <v>140</v>
      </c>
      <c r="D966" s="159" t="s">
        <v>1901</v>
      </c>
      <c r="E966" s="187" t="s">
        <v>285</v>
      </c>
      <c r="F966" s="2"/>
      <c r="G966" s="187" t="str">
        <f>+VLOOKUP(Table_1[[#This Row],[Account]],BV_Data_An_Cour!$L:$Q,6,0)</f>
        <v>7-Dépenses</v>
      </c>
      <c r="H966" s="160"/>
    </row>
    <row r="967" spans="1:29" ht="15" customHeight="1">
      <c r="A967" s="474" t="s">
        <v>899</v>
      </c>
      <c r="B967" s="482" t="s">
        <v>1692</v>
      </c>
      <c r="C967" s="159" t="s">
        <v>147</v>
      </c>
      <c r="D967" s="159" t="s">
        <v>1901</v>
      </c>
      <c r="E967" s="187" t="s">
        <v>285</v>
      </c>
      <c r="F967" s="2"/>
      <c r="G967" s="187" t="str">
        <f>+VLOOKUP(Table_1[[#This Row],[Account]],BV_Data_An_Cour!$L:$Q,6,0)</f>
        <v>7-Dépenses</v>
      </c>
      <c r="H967" s="160"/>
    </row>
    <row r="968" spans="1:29" ht="15" customHeight="1">
      <c r="A968" s="162" t="s">
        <v>891</v>
      </c>
      <c r="B968" s="163" t="s">
        <v>1690</v>
      </c>
      <c r="C968" s="159" t="s">
        <v>1893</v>
      </c>
      <c r="D968" s="159" t="s">
        <v>1901</v>
      </c>
      <c r="E968" s="187" t="s">
        <v>285</v>
      </c>
      <c r="F968" s="2"/>
      <c r="G968" s="187" t="str">
        <f>+VLOOKUP(Table_1[[#This Row],[Account]],BV_Data_An_Cour!$L:$Q,6,0)</f>
        <v>7-Dépenses</v>
      </c>
      <c r="H968" s="160"/>
    </row>
    <row r="969" spans="1:29" ht="15" customHeight="1">
      <c r="A969" s="476" t="s">
        <v>823</v>
      </c>
      <c r="B969" s="483" t="s">
        <v>1624</v>
      </c>
      <c r="C969" s="159" t="s">
        <v>1894</v>
      </c>
      <c r="D969" s="159" t="s">
        <v>1901</v>
      </c>
      <c r="E969" s="187" t="s">
        <v>285</v>
      </c>
      <c r="F969" s="2"/>
      <c r="G969" s="187" t="e">
        <f>+VLOOKUP(Table_1[[#This Row],[Account]],BV_Data_An_Cour!$L:$Q,6,0)</f>
        <v>#N/A</v>
      </c>
      <c r="H969" s="160"/>
    </row>
    <row r="970" spans="1:29" ht="15" customHeight="1">
      <c r="A970" s="474" t="s">
        <v>915</v>
      </c>
      <c r="B970" s="482" t="s">
        <v>1771</v>
      </c>
      <c r="C970" s="159" t="s">
        <v>75</v>
      </c>
      <c r="D970" s="159" t="s">
        <v>1900</v>
      </c>
      <c r="E970" s="187" t="s">
        <v>285</v>
      </c>
      <c r="F970" s="2"/>
      <c r="G970" s="187" t="e">
        <f>+VLOOKUP(Table_1[[#This Row],[Account]],BV_Data_An_Cour!$L:$Q,6,0)</f>
        <v>#N/A</v>
      </c>
      <c r="H970" s="160"/>
    </row>
    <row r="971" spans="1:29" ht="15" customHeight="1">
      <c r="A971" s="474" t="s">
        <v>853</v>
      </c>
      <c r="B971" s="482" t="s">
        <v>1682</v>
      </c>
      <c r="C971" s="159" t="s">
        <v>140</v>
      </c>
      <c r="D971" s="159" t="s">
        <v>1900</v>
      </c>
      <c r="E971" s="187" t="s">
        <v>285</v>
      </c>
      <c r="F971" s="2"/>
      <c r="G971" s="187" t="e">
        <f>+VLOOKUP(Table_1[[#This Row],[Account]],BV_Data_An_Cour!$L:$Q,6,0)</f>
        <v>#N/A</v>
      </c>
      <c r="H971" s="160"/>
    </row>
    <row r="972" spans="1:29" ht="15" customHeight="1">
      <c r="A972" s="162" t="s">
        <v>888</v>
      </c>
      <c r="B972" s="163" t="s">
        <v>1726</v>
      </c>
      <c r="C972" s="159" t="s">
        <v>147</v>
      </c>
      <c r="D972" s="159" t="s">
        <v>1900</v>
      </c>
      <c r="E972" s="187" t="s">
        <v>285</v>
      </c>
      <c r="F972" s="2"/>
      <c r="G972" s="187" t="e">
        <f>+VLOOKUP(Table_1[[#This Row],[Account]],BV_Data_An_Cour!$L:$Q,6,0)</f>
        <v>#N/A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882</v>
      </c>
      <c r="B973" s="163" t="s">
        <v>1718</v>
      </c>
      <c r="C973" s="159" t="s">
        <v>1893</v>
      </c>
      <c r="D973" s="159" t="s">
        <v>1900</v>
      </c>
      <c r="E973" s="187" t="s">
        <v>285</v>
      </c>
      <c r="F973" s="2"/>
      <c r="G973" s="187" t="e">
        <f>+VLOOKUP(Table_1[[#This Row],[Account]],BV_Data_An_Cour!$L:$Q,6,0)</f>
        <v>#N/A</v>
      </c>
      <c r="H973" s="160"/>
    </row>
    <row r="974" spans="1:29" ht="15" customHeight="1">
      <c r="A974" s="168" t="s">
        <v>814</v>
      </c>
      <c r="B974" s="169" t="s">
        <v>1637</v>
      </c>
      <c r="C974" s="159" t="s">
        <v>1894</v>
      </c>
      <c r="D974" s="159" t="s">
        <v>1900</v>
      </c>
      <c r="E974" s="187" t="s">
        <v>285</v>
      </c>
      <c r="F974" s="2"/>
      <c r="G974" s="187" t="e">
        <f>+VLOOKUP(Table_1[[#This Row],[Account]],BV_Data_An_Cour!$L:$Q,6,0)</f>
        <v>#N/A</v>
      </c>
      <c r="H974" s="160"/>
    </row>
    <row r="975" spans="1:29" ht="15" customHeight="1">
      <c r="A975" s="474" t="s">
        <v>834</v>
      </c>
      <c r="B975" s="482" t="s">
        <v>1671</v>
      </c>
      <c r="C975" s="159" t="s">
        <v>75</v>
      </c>
      <c r="D975" s="159" t="s">
        <v>127</v>
      </c>
      <c r="E975" s="187" t="s">
        <v>285</v>
      </c>
      <c r="F975" s="2"/>
      <c r="G975" s="187" t="str">
        <f>+VLOOKUP(Table_1[[#This Row],[Account]],BV_Data_An_Cour!$L:$Q,6,0)</f>
        <v>7-Dépenses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8" t="s">
        <v>798</v>
      </c>
      <c r="B976" s="169" t="s">
        <v>1627</v>
      </c>
      <c r="C976" s="159" t="s">
        <v>140</v>
      </c>
      <c r="D976" s="159" t="s">
        <v>127</v>
      </c>
      <c r="E976" s="187" t="s">
        <v>285</v>
      </c>
      <c r="F976" s="2"/>
      <c r="G976" s="187" t="str">
        <f>+VLOOKUP(Table_1[[#This Row],[Account]],BV_Data_An_Cour!$L:$Q,6,0)</f>
        <v>7-Dépenses</v>
      </c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8" t="s">
        <v>821</v>
      </c>
      <c r="B977" s="169" t="s">
        <v>1658</v>
      </c>
      <c r="C977" s="159" t="s">
        <v>147</v>
      </c>
      <c r="D977" s="159" t="s">
        <v>127</v>
      </c>
      <c r="E977" s="187" t="s">
        <v>285</v>
      </c>
      <c r="F977" s="2"/>
      <c r="G977" s="187" t="str">
        <f>+VLOOKUP(Table_1[[#This Row],[Account]],BV_Data_An_Cour!$L:$Q,6,0)</f>
        <v>7-Dépenses</v>
      </c>
      <c r="H977" s="160"/>
    </row>
    <row r="978" spans="1:29" ht="15" customHeight="1">
      <c r="A978" s="168" t="s">
        <v>816</v>
      </c>
      <c r="B978" s="169" t="s">
        <v>1648</v>
      </c>
      <c r="C978" s="159" t="s">
        <v>1893</v>
      </c>
      <c r="D978" s="159" t="s">
        <v>127</v>
      </c>
      <c r="E978" s="187" t="s">
        <v>285</v>
      </c>
      <c r="F978" s="2"/>
      <c r="G978" s="187" t="str">
        <f>+VLOOKUP(Table_1[[#This Row],[Account]],BV_Data_An_Cour!$L:$Q,6,0)</f>
        <v>7-Dépenses</v>
      </c>
      <c r="H978" s="160"/>
    </row>
    <row r="979" spans="1:29" ht="15" customHeight="1">
      <c r="A979" s="476" t="s">
        <v>773</v>
      </c>
      <c r="B979" s="483" t="s">
        <v>1613</v>
      </c>
      <c r="C979" s="159" t="s">
        <v>1894</v>
      </c>
      <c r="D979" s="159" t="s">
        <v>127</v>
      </c>
      <c r="E979" s="187" t="s">
        <v>285</v>
      </c>
      <c r="F979" s="2"/>
      <c r="G979" s="187" t="e">
        <f>+VLOOKUP(Table_1[[#This Row],[Account]],BV_Data_An_Cour!$L:$Q,6,0)</f>
        <v>#N/A</v>
      </c>
      <c r="H979" s="160"/>
    </row>
    <row r="980" spans="1:29" ht="15" customHeight="1">
      <c r="A980" s="162" t="s">
        <v>889</v>
      </c>
      <c r="B980" s="163" t="s">
        <v>1145</v>
      </c>
      <c r="C980" s="159" t="s">
        <v>75</v>
      </c>
      <c r="D980" s="159" t="s">
        <v>130</v>
      </c>
      <c r="E980" s="187" t="s">
        <v>285</v>
      </c>
      <c r="F980" s="2"/>
      <c r="G980" s="187" t="str">
        <f>+VLOOKUP(Table_1[[#This Row],[Account]],BV_Data_An_Cour!$L:$Q,6,0)</f>
        <v>7-Dépenses</v>
      </c>
      <c r="H980" s="160"/>
      <c r="K980" s="2"/>
    </row>
    <row r="981" spans="1:29" ht="15" customHeight="1">
      <c r="A981" s="476" t="s">
        <v>833</v>
      </c>
      <c r="B981" s="483" t="s">
        <v>1194</v>
      </c>
      <c r="C981" s="159" t="s">
        <v>140</v>
      </c>
      <c r="D981" s="159" t="s">
        <v>130</v>
      </c>
      <c r="E981" s="187" t="s">
        <v>285</v>
      </c>
      <c r="F981" s="2"/>
      <c r="G981" s="187" t="str">
        <f>+VLOOKUP(Table_1[[#This Row],[Account]],BV_Data_An_Cour!$L:$Q,6,0)</f>
        <v>7-Dépenses</v>
      </c>
      <c r="H981" s="160"/>
    </row>
    <row r="982" spans="1:29" ht="15" customHeight="1">
      <c r="A982" s="474" t="s">
        <v>868</v>
      </c>
      <c r="B982" s="482" t="s">
        <v>1172</v>
      </c>
      <c r="C982" s="159" t="s">
        <v>147</v>
      </c>
      <c r="D982" s="159" t="s">
        <v>130</v>
      </c>
      <c r="E982" s="187" t="s">
        <v>285</v>
      </c>
      <c r="F982" s="2"/>
      <c r="G982" s="187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474" t="s">
        <v>856</v>
      </c>
      <c r="B983" s="482" t="s">
        <v>1174</v>
      </c>
      <c r="C983" s="159" t="s">
        <v>1893</v>
      </c>
      <c r="D983" s="159" t="s">
        <v>130</v>
      </c>
      <c r="E983" s="187" t="s">
        <v>285</v>
      </c>
      <c r="F983" s="2"/>
      <c r="G983" s="187" t="str">
        <f>+VLOOKUP(Table_1[[#This Row],[Account]],BV_Data_An_Cour!$L:$Q,6,0)</f>
        <v>7-Dépenses</v>
      </c>
      <c r="H983" s="160"/>
    </row>
    <row r="984" spans="1:29" ht="15" customHeight="1">
      <c r="A984" s="168" t="s">
        <v>803</v>
      </c>
      <c r="B984" s="169" t="s">
        <v>1219</v>
      </c>
      <c r="C984" s="159" t="s">
        <v>1894</v>
      </c>
      <c r="D984" s="159" t="s">
        <v>130</v>
      </c>
      <c r="E984" s="187" t="s">
        <v>285</v>
      </c>
      <c r="F984" s="2"/>
      <c r="G984" s="187" t="e">
        <f>+VLOOKUP(Table_1[[#This Row],[Account]],BV_Data_An_Cour!$L:$Q,6,0)</f>
        <v>#N/A</v>
      </c>
      <c r="H984" s="160"/>
    </row>
    <row r="985" spans="1:29" ht="15" customHeight="1">
      <c r="A985" s="162" t="s">
        <v>869</v>
      </c>
      <c r="B985" s="163" t="s">
        <v>1137</v>
      </c>
      <c r="C985" s="159" t="s">
        <v>75</v>
      </c>
      <c r="D985" s="159" t="s">
        <v>1899</v>
      </c>
      <c r="E985" s="187" t="s">
        <v>285</v>
      </c>
      <c r="F985" s="2"/>
      <c r="G985" s="187" t="e">
        <f>+VLOOKUP(Table_1[[#This Row],[Account]],BV_Data_An_Cour!$L:$Q,6,0)</f>
        <v>#N/A</v>
      </c>
      <c r="H985" s="160"/>
    </row>
    <row r="986" spans="1:29" ht="15" customHeight="1">
      <c r="A986" s="168" t="s">
        <v>824</v>
      </c>
      <c r="B986" s="169" t="s">
        <v>1177</v>
      </c>
      <c r="C986" s="159" t="s">
        <v>140</v>
      </c>
      <c r="D986" s="159" t="s">
        <v>1899</v>
      </c>
      <c r="E986" s="187" t="s">
        <v>285</v>
      </c>
      <c r="F986" s="2"/>
      <c r="G986" s="187" t="e">
        <f>+VLOOKUP(Table_1[[#This Row],[Account]],BV_Data_An_Cour!$L:$Q,6,0)</f>
        <v>#N/A</v>
      </c>
      <c r="H986" s="160"/>
    </row>
    <row r="987" spans="1:29" ht="15" customHeight="1">
      <c r="A987" s="162" t="s">
        <v>843</v>
      </c>
      <c r="B987" s="163" t="s">
        <v>1152</v>
      </c>
      <c r="C987" s="159" t="s">
        <v>147</v>
      </c>
      <c r="D987" s="159" t="s">
        <v>1899</v>
      </c>
      <c r="E987" s="187" t="s">
        <v>285</v>
      </c>
      <c r="F987" s="2"/>
      <c r="G987" s="187" t="e">
        <f>+VLOOKUP(Table_1[[#This Row],[Account]],BV_Data_An_Cour!$L:$Q,6,0)</f>
        <v>#N/A</v>
      </c>
      <c r="H987" s="160"/>
    </row>
    <row r="988" spans="1:29" ht="15" customHeight="1">
      <c r="A988" s="1191" t="s">
        <v>847</v>
      </c>
      <c r="B988" s="1194" t="s">
        <v>1155</v>
      </c>
      <c r="C988" s="159" t="s">
        <v>1893</v>
      </c>
      <c r="D988" s="159" t="s">
        <v>1899</v>
      </c>
      <c r="E988" s="187" t="s">
        <v>285</v>
      </c>
      <c r="F988" s="2"/>
      <c r="G988" s="187" t="e">
        <f>+VLOOKUP(Table_1[[#This Row],[Account]],BV_Data_An_Cour!$L:$Q,6,0)</f>
        <v>#N/A</v>
      </c>
      <c r="H988" s="160"/>
      <c r="K988" s="2"/>
    </row>
    <row r="989" spans="1:29" ht="15" customHeight="1">
      <c r="A989" s="1193" t="s">
        <v>786</v>
      </c>
      <c r="B989" s="1202" t="s">
        <v>1213</v>
      </c>
      <c r="C989" s="159" t="s">
        <v>1894</v>
      </c>
      <c r="D989" s="159" t="s">
        <v>1899</v>
      </c>
      <c r="E989" s="187" t="s">
        <v>285</v>
      </c>
      <c r="F989" s="2"/>
      <c r="G989" s="187" t="e">
        <f>+VLOOKUP(Table_1[[#This Row],[Account]],BV_Data_An_Cour!$L:$Q,6,0)</f>
        <v>#N/A</v>
      </c>
      <c r="H989" s="160"/>
    </row>
    <row r="990" spans="1:29" ht="15" customHeight="1">
      <c r="A990" s="162" t="s">
        <v>2394</v>
      </c>
      <c r="B990" s="158" t="s">
        <v>2393</v>
      </c>
      <c r="C990" s="159"/>
      <c r="D990" s="159"/>
      <c r="E990" s="493"/>
      <c r="F990" s="160"/>
      <c r="G990" s="493"/>
      <c r="H990" s="160"/>
    </row>
    <row r="991" spans="1:29" ht="15" customHeight="1">
      <c r="A991" s="476" t="s">
        <v>818</v>
      </c>
      <c r="B991" s="483" t="s">
        <v>1655</v>
      </c>
      <c r="C991" s="159" t="s">
        <v>75</v>
      </c>
      <c r="D991" s="159" t="s">
        <v>128</v>
      </c>
      <c r="E991" s="187" t="s">
        <v>285</v>
      </c>
      <c r="F991" s="2"/>
      <c r="G991" s="187" t="str">
        <f>+VLOOKUP(Table_1[[#This Row],[Account]],BV_Data_An_Cour!$L:$Q,6,0)</f>
        <v>7-Dépenses</v>
      </c>
      <c r="H991" s="160"/>
    </row>
    <row r="992" spans="1:29" ht="15" customHeight="1">
      <c r="A992" s="476" t="s">
        <v>782</v>
      </c>
      <c r="B992" s="483" t="s">
        <v>1621</v>
      </c>
      <c r="C992" s="159" t="s">
        <v>140</v>
      </c>
      <c r="D992" s="159" t="s">
        <v>128</v>
      </c>
      <c r="E992" s="187" t="s">
        <v>285</v>
      </c>
      <c r="F992" s="2"/>
      <c r="G992" s="187" t="str">
        <f>+VLOOKUP(Table_1[[#This Row],[Account]],BV_Data_An_Cour!$L:$Q,6,0)</f>
        <v>7-Dépenses</v>
      </c>
      <c r="H992" s="160"/>
    </row>
    <row r="993" spans="1:8" ht="15" customHeight="1">
      <c r="A993" s="476" t="s">
        <v>806</v>
      </c>
      <c r="B993" s="483" t="s">
        <v>1628</v>
      </c>
      <c r="C993" s="159" t="s">
        <v>147</v>
      </c>
      <c r="D993" s="159" t="s">
        <v>128</v>
      </c>
      <c r="E993" s="187" t="s">
        <v>285</v>
      </c>
      <c r="F993" s="2"/>
      <c r="G993" s="187" t="str">
        <f>+VLOOKUP(Table_1[[#This Row],[Account]],BV_Data_An_Cour!$L:$Q,6,0)</f>
        <v>7-Dépenses</v>
      </c>
      <c r="H993" s="160"/>
    </row>
    <row r="994" spans="1:8" ht="15" customHeight="1">
      <c r="A994" s="168" t="s">
        <v>788</v>
      </c>
      <c r="B994" s="169" t="s">
        <v>1619</v>
      </c>
      <c r="C994" s="159" t="s">
        <v>1893</v>
      </c>
      <c r="D994" s="159" t="s">
        <v>128</v>
      </c>
      <c r="E994" s="187" t="s">
        <v>285</v>
      </c>
      <c r="F994" s="2"/>
      <c r="G994" s="187" t="str">
        <f>+VLOOKUP(Table_1[[#This Row],[Account]],BV_Data_An_Cour!$L:$Q,6,0)</f>
        <v>7-Dépenses</v>
      </c>
      <c r="H994" s="160"/>
    </row>
    <row r="995" spans="1:8" ht="15" customHeight="1">
      <c r="A995" s="1193" t="s">
        <v>770</v>
      </c>
      <c r="B995" s="734" t="s">
        <v>1609</v>
      </c>
      <c r="C995" s="159" t="s">
        <v>1894</v>
      </c>
      <c r="D995" s="159" t="s">
        <v>128</v>
      </c>
      <c r="E995" s="187" t="s">
        <v>285</v>
      </c>
      <c r="F995" s="2"/>
      <c r="G995" s="187" t="e">
        <f>+VLOOKUP(Table_1[[#This Row],[Account]],BV_Data_An_Cour!$L:$Q,6,0)</f>
        <v>#N/A</v>
      </c>
      <c r="H995" s="160"/>
    </row>
    <row r="996" spans="1:8" ht="15" customHeight="1">
      <c r="A996" s="162" t="s">
        <v>1473</v>
      </c>
      <c r="B996" s="163" t="s">
        <v>1472</v>
      </c>
      <c r="C996" s="159" t="s">
        <v>75</v>
      </c>
      <c r="D996" s="159" t="s">
        <v>103</v>
      </c>
      <c r="E996" s="187" t="s">
        <v>285</v>
      </c>
      <c r="F996" s="187"/>
      <c r="G996" s="187" t="e">
        <f>+VLOOKUP(Table_1[[#This Row],[Account]],BV_Data_An_Cour!$L:$Q,6,0)</f>
        <v>#N/A</v>
      </c>
      <c r="H996" s="160"/>
    </row>
    <row r="997" spans="1:8" ht="15" customHeight="1">
      <c r="A997" s="169" t="s">
        <v>1475</v>
      </c>
      <c r="B997" s="169" t="s">
        <v>1474</v>
      </c>
      <c r="C997" s="159" t="s">
        <v>147</v>
      </c>
      <c r="D997" s="159" t="s">
        <v>119</v>
      </c>
      <c r="E997" s="187" t="s">
        <v>285</v>
      </c>
      <c r="F997" s="187"/>
      <c r="G997" s="187" t="e">
        <f>+VLOOKUP(Table_1[[#This Row],[Account]],BV_Data_An_Cour!$L:$Q,6,0)</f>
        <v>#N/A</v>
      </c>
      <c r="H997" s="160"/>
    </row>
    <row r="998" spans="1:8" ht="15" customHeight="1">
      <c r="A998" s="476" t="s">
        <v>1477</v>
      </c>
      <c r="B998" s="483" t="s">
        <v>1476</v>
      </c>
      <c r="C998" s="159" t="s">
        <v>1893</v>
      </c>
      <c r="D998" s="159" t="s">
        <v>119</v>
      </c>
      <c r="E998" s="187" t="s">
        <v>285</v>
      </c>
      <c r="F998" s="187"/>
      <c r="G998" s="187" t="e">
        <f>+VLOOKUP(Table_1[[#This Row],[Account]],BV_Data_An_Cour!$L:$Q,6,0)</f>
        <v>#N/A</v>
      </c>
      <c r="H998" s="160"/>
    </row>
    <row r="999" spans="1:8" ht="15" customHeight="1">
      <c r="A999" s="169" t="s">
        <v>1479</v>
      </c>
      <c r="B999" s="169" t="s">
        <v>1478</v>
      </c>
      <c r="C999" s="159" t="s">
        <v>185</v>
      </c>
      <c r="D999" s="159" t="s">
        <v>244</v>
      </c>
      <c r="E999" s="187" t="s">
        <v>285</v>
      </c>
      <c r="F999" s="2"/>
      <c r="G999" s="187" t="e">
        <f>+VLOOKUP(Table_1[[#This Row],[Account]],BV_Data_An_Cour!$L:$Q,6,0)</f>
        <v>#N/A</v>
      </c>
      <c r="H999" s="160"/>
    </row>
    <row r="1000" spans="1:8" ht="15" customHeight="1">
      <c r="A1000" s="168" t="s">
        <v>430</v>
      </c>
      <c r="B1000" s="169" t="s">
        <v>138</v>
      </c>
      <c r="C1000" s="159" t="s">
        <v>185</v>
      </c>
      <c r="D1000" s="159" t="s">
        <v>244</v>
      </c>
      <c r="E1000" s="187" t="s">
        <v>285</v>
      </c>
      <c r="F1000" s="2"/>
      <c r="G1000" s="187" t="str">
        <f>+VLOOKUP(Table_1[[#This Row],[Account]],BV_Data_An_Cour!$L:$Q,6,0)</f>
        <v>8-Autres revenus</v>
      </c>
      <c r="H1000" s="160"/>
    </row>
    <row r="1001" spans="1:8" ht="15" customHeight="1">
      <c r="A1001" s="162" t="s">
        <v>2308</v>
      </c>
      <c r="B1001" s="158" t="s">
        <v>2307</v>
      </c>
      <c r="C1001" s="159" t="s">
        <v>273</v>
      </c>
      <c r="D1001" s="159" t="s">
        <v>244</v>
      </c>
      <c r="E1001" s="187" t="s">
        <v>285</v>
      </c>
      <c r="F1001" s="160"/>
      <c r="G1001" s="493"/>
      <c r="H1001" s="160"/>
    </row>
    <row r="1002" spans="1:8" ht="15" customHeight="1">
      <c r="A1002" s="168" t="s">
        <v>440</v>
      </c>
      <c r="B1002" s="169" t="s">
        <v>1123</v>
      </c>
      <c r="C1002" s="159" t="s">
        <v>75</v>
      </c>
      <c r="D1002" s="159" t="s">
        <v>137</v>
      </c>
      <c r="E1002" s="187" t="s">
        <v>285</v>
      </c>
      <c r="F1002" s="2"/>
      <c r="G1002" s="187" t="str">
        <f>+VLOOKUP(Table_1[[#This Row],[Account]],BV_Data_An_Cour!$L:$Q,6,0)</f>
        <v>8-Autres revenus</v>
      </c>
      <c r="H1002" s="160"/>
    </row>
    <row r="1003" spans="1:8" ht="15" customHeight="1">
      <c r="A1003" s="169" t="s">
        <v>447</v>
      </c>
      <c r="B1003" s="169" t="s">
        <v>1144</v>
      </c>
      <c r="C1003" s="159" t="s">
        <v>140</v>
      </c>
      <c r="D1003" s="159" t="s">
        <v>137</v>
      </c>
      <c r="E1003" s="187" t="s">
        <v>285</v>
      </c>
      <c r="F1003" s="2"/>
      <c r="G1003" s="187" t="str">
        <f>+VLOOKUP(Table_1[[#This Row],[Account]],BV_Data_An_Cour!$L:$Q,6,0)</f>
        <v>8-Autres revenus</v>
      </c>
      <c r="H1003" s="160"/>
    </row>
    <row r="1004" spans="1:8" ht="15" customHeight="1">
      <c r="A1004" s="162" t="s">
        <v>968</v>
      </c>
      <c r="B1004" s="163" t="s">
        <v>1830</v>
      </c>
      <c r="C1004" s="159" t="s">
        <v>75</v>
      </c>
      <c r="D1004" s="159" t="s">
        <v>1898</v>
      </c>
      <c r="E1004" s="187" t="s">
        <v>285</v>
      </c>
      <c r="F1004" s="2"/>
      <c r="G1004" s="187" t="str">
        <f>+VLOOKUP(Table_1[[#This Row],[Account]],BV_Data_An_Cour!$L:$Q,6,0)</f>
        <v>7-Dépenses</v>
      </c>
      <c r="H1004" s="160"/>
    </row>
    <row r="1005" spans="1:8" ht="15" customHeight="1">
      <c r="A1005" s="162" t="s">
        <v>928</v>
      </c>
      <c r="B1005" s="163" t="s">
        <v>1794</v>
      </c>
      <c r="C1005" s="159" t="s">
        <v>140</v>
      </c>
      <c r="D1005" s="159" t="s">
        <v>1898</v>
      </c>
      <c r="E1005" s="187" t="s">
        <v>285</v>
      </c>
      <c r="F1005" s="2"/>
      <c r="G1005" s="187" t="str">
        <f>+VLOOKUP(Table_1[[#This Row],[Account]],BV_Data_An_Cour!$L:$Q,6,0)</f>
        <v>7-Dépenses</v>
      </c>
      <c r="H1005" s="160"/>
    </row>
    <row r="1006" spans="1:8" ht="15" customHeight="1">
      <c r="A1006" s="162" t="s">
        <v>958</v>
      </c>
      <c r="B1006" s="163" t="s">
        <v>1818</v>
      </c>
      <c r="C1006" s="159" t="s">
        <v>147</v>
      </c>
      <c r="D1006" s="159" t="s">
        <v>1898</v>
      </c>
      <c r="E1006" s="187" t="s">
        <v>285</v>
      </c>
      <c r="F1006" s="2"/>
      <c r="G1006" s="187" t="str">
        <f>+VLOOKUP(Table_1[[#This Row],[Account]],BV_Data_An_Cour!$L:$Q,6,0)</f>
        <v>7-Dépenses</v>
      </c>
      <c r="H1006" s="160"/>
    </row>
    <row r="1007" spans="1:8" ht="15" customHeight="1">
      <c r="A1007" s="162" t="s">
        <v>953</v>
      </c>
      <c r="B1007" s="163" t="s">
        <v>1816</v>
      </c>
      <c r="C1007" s="159" t="s">
        <v>1893</v>
      </c>
      <c r="D1007" s="159" t="s">
        <v>1898</v>
      </c>
      <c r="E1007" s="187" t="s">
        <v>285</v>
      </c>
      <c r="F1007" s="2"/>
      <c r="G1007" s="187" t="str">
        <f>+VLOOKUP(Table_1[[#This Row],[Account]],BV_Data_An_Cour!$L:$Q,6,0)</f>
        <v>7-Dépenses</v>
      </c>
      <c r="H1007" s="160"/>
    </row>
    <row r="1008" spans="1:8" ht="15" customHeight="1">
      <c r="A1008" s="162" t="s">
        <v>871</v>
      </c>
      <c r="B1008" s="163" t="s">
        <v>1716</v>
      </c>
      <c r="C1008" s="159" t="s">
        <v>1894</v>
      </c>
      <c r="D1008" s="159" t="s">
        <v>1898</v>
      </c>
      <c r="E1008" s="187" t="s">
        <v>285</v>
      </c>
      <c r="F1008" s="2"/>
      <c r="G1008" s="187" t="e">
        <f>+VLOOKUP(Table_1[[#This Row],[Account]],BV_Data_An_Cour!$L:$Q,6,0)</f>
        <v>#N/A</v>
      </c>
      <c r="H1008" s="160"/>
    </row>
    <row r="1009" spans="1:8" ht="15" customHeight="1">
      <c r="A1009" s="474" t="s">
        <v>433</v>
      </c>
      <c r="B1009" s="482" t="s">
        <v>1106</v>
      </c>
      <c r="C1009" s="159" t="s">
        <v>185</v>
      </c>
      <c r="D1009" s="159" t="s">
        <v>396</v>
      </c>
      <c r="E1009" s="187" t="s">
        <v>285</v>
      </c>
      <c r="F1009" s="187"/>
      <c r="G1009" s="187" t="str">
        <f>+VLOOKUP(Table_1[[#This Row],[Account]],BV_Data_An_Cour!$L:$Q,6,0)</f>
        <v>8-Autres revenus</v>
      </c>
      <c r="H1009" s="160"/>
    </row>
    <row r="1010" spans="1:8" ht="15" customHeight="1">
      <c r="A1010" s="157" t="s">
        <v>428</v>
      </c>
      <c r="B1010" s="158" t="s">
        <v>1098</v>
      </c>
      <c r="C1010" s="159" t="s">
        <v>75</v>
      </c>
      <c r="D1010" s="159" t="s">
        <v>1897</v>
      </c>
      <c r="E1010" s="187" t="s">
        <v>285</v>
      </c>
      <c r="F1010" s="2"/>
      <c r="G1010" s="187" t="str">
        <f>+VLOOKUP(Table_1[[#This Row],[Account]],BV_Data_An_Cour!$L:$Q,6,0)</f>
        <v>8-Autres revenus</v>
      </c>
      <c r="H1010" s="160"/>
    </row>
    <row r="1011" spans="1:8" ht="15" customHeight="1">
      <c r="A1011" s="476" t="s">
        <v>439</v>
      </c>
      <c r="B1011" s="483" t="s">
        <v>438</v>
      </c>
      <c r="C1011" s="159" t="s">
        <v>140</v>
      </c>
      <c r="D1011" s="159" t="s">
        <v>394</v>
      </c>
      <c r="E1011" s="187" t="s">
        <v>285</v>
      </c>
      <c r="F1011" s="2"/>
      <c r="G1011" s="187" t="e">
        <f>+VLOOKUP(Table_1[[#This Row],[Account]],BV_Data_An_Cour!$L:$Q,6,0)</f>
        <v>#N/A</v>
      </c>
      <c r="H1011" s="160"/>
    </row>
    <row r="1012" spans="1:8" ht="15" customHeight="1">
      <c r="A1012" s="476" t="s">
        <v>414</v>
      </c>
      <c r="B1012" s="483" t="s">
        <v>413</v>
      </c>
      <c r="C1012" s="159" t="s">
        <v>140</v>
      </c>
      <c r="D1012" s="159" t="s">
        <v>395</v>
      </c>
      <c r="E1012" s="187" t="s">
        <v>285</v>
      </c>
      <c r="F1012" s="2"/>
      <c r="G1012" s="187" t="e">
        <f>+VLOOKUP(Table_1[[#This Row],[Account]],BV_Data_An_Cour!$L:$Q,6,0)</f>
        <v>#N/A</v>
      </c>
      <c r="H1012" s="160"/>
    </row>
    <row r="1013" spans="1:8" ht="15" customHeight="1">
      <c r="A1013" s="162" t="s">
        <v>1777</v>
      </c>
      <c r="B1013" s="163" t="s">
        <v>1776</v>
      </c>
      <c r="C1013" s="159" t="s">
        <v>75</v>
      </c>
      <c r="D1013" s="159" t="s">
        <v>249</v>
      </c>
      <c r="E1013" s="187" t="s">
        <v>285</v>
      </c>
      <c r="F1013" s="2"/>
      <c r="G1013" s="187" t="e">
        <f>+VLOOKUP(Table_1[[#This Row],[Account]],BV_Data_An_Cour!$L:$Q,6,0)</f>
        <v>#N/A</v>
      </c>
      <c r="H1013" s="160"/>
    </row>
    <row r="1014" spans="1:8" ht="15" customHeight="1">
      <c r="A1014" s="162" t="s">
        <v>1695</v>
      </c>
      <c r="B1014" s="163" t="s">
        <v>1694</v>
      </c>
      <c r="C1014" s="159" t="s">
        <v>140</v>
      </c>
      <c r="D1014" s="159" t="s">
        <v>249</v>
      </c>
      <c r="E1014" s="187" t="s">
        <v>285</v>
      </c>
      <c r="F1014" s="2"/>
      <c r="G1014" s="187" t="e">
        <f>+VLOOKUP(Table_1[[#This Row],[Account]],BV_Data_An_Cour!$L:$Q,6,0)</f>
        <v>#N/A</v>
      </c>
      <c r="H1014" s="160"/>
    </row>
    <row r="1015" spans="1:8" ht="15" customHeight="1">
      <c r="A1015" s="474" t="s">
        <v>1737</v>
      </c>
      <c r="B1015" s="482" t="s">
        <v>1736</v>
      </c>
      <c r="C1015" s="159" t="s">
        <v>147</v>
      </c>
      <c r="D1015" s="159" t="s">
        <v>249</v>
      </c>
      <c r="E1015" s="187" t="s">
        <v>285</v>
      </c>
      <c r="F1015" s="2"/>
      <c r="G1015" s="187" t="e">
        <f>+VLOOKUP(Table_1[[#This Row],[Account]],BV_Data_An_Cour!$L:$Q,6,0)</f>
        <v>#N/A</v>
      </c>
      <c r="H1015" s="160"/>
    </row>
    <row r="1016" spans="1:8" ht="15" customHeight="1">
      <c r="A1016" s="163" t="s">
        <v>1732</v>
      </c>
      <c r="B1016" s="163" t="s">
        <v>1731</v>
      </c>
      <c r="C1016" s="159" t="s">
        <v>1893</v>
      </c>
      <c r="D1016" s="159" t="s">
        <v>249</v>
      </c>
      <c r="E1016" s="187" t="s">
        <v>285</v>
      </c>
      <c r="F1016" s="2"/>
      <c r="G1016" s="187" t="e">
        <f>+VLOOKUP(Table_1[[#This Row],[Account]],BV_Data_An_Cour!$L:$Q,6,0)</f>
        <v>#N/A</v>
      </c>
      <c r="H1016" s="160"/>
    </row>
    <row r="1017" spans="1:8" ht="15" customHeight="1">
      <c r="A1017" s="169" t="s">
        <v>1645</v>
      </c>
      <c r="B1017" s="169" t="s">
        <v>1644</v>
      </c>
      <c r="C1017" s="159" t="s">
        <v>1894</v>
      </c>
      <c r="D1017" s="159" t="s">
        <v>249</v>
      </c>
      <c r="E1017" s="187" t="s">
        <v>285</v>
      </c>
      <c r="F1017" s="2"/>
      <c r="G1017" s="187" t="e">
        <f>+VLOOKUP(Table_1[[#This Row],[Account]],BV_Data_An_Cour!$L:$Q,6,0)</f>
        <v>#N/A</v>
      </c>
      <c r="H1017" s="160"/>
    </row>
    <row r="1018" spans="1:8" ht="15" customHeight="1">
      <c r="A1018" s="163" t="s">
        <v>901</v>
      </c>
      <c r="B1018" s="478" t="s">
        <v>1773</v>
      </c>
      <c r="C1018" s="159" t="s">
        <v>75</v>
      </c>
      <c r="D1018" s="159" t="s">
        <v>226</v>
      </c>
      <c r="E1018" s="187" t="s">
        <v>285</v>
      </c>
      <c r="F1018" s="2"/>
      <c r="G1018" s="187" t="e">
        <f>+VLOOKUP(Table_1[[#This Row],[Account]],BV_Data_An_Cour!$L:$Q,6,0)</f>
        <v>#N/A</v>
      </c>
      <c r="H1018" s="160"/>
    </row>
    <row r="1019" spans="1:8" ht="15" customHeight="1">
      <c r="A1019" s="474" t="s">
        <v>840</v>
      </c>
      <c r="B1019" s="482" t="s">
        <v>1686</v>
      </c>
      <c r="C1019" s="159" t="s">
        <v>140</v>
      </c>
      <c r="D1019" s="159" t="s">
        <v>226</v>
      </c>
      <c r="E1019" s="187" t="s">
        <v>285</v>
      </c>
      <c r="F1019" s="2"/>
      <c r="G1019" s="187" t="e">
        <f>+VLOOKUP(Table_1[[#This Row],[Account]],BV_Data_An_Cour!$L:$Q,6,0)</f>
        <v>#N/A</v>
      </c>
      <c r="H1019" s="160"/>
    </row>
    <row r="1020" spans="1:8" ht="15" customHeight="1">
      <c r="A1020" s="474" t="s">
        <v>872</v>
      </c>
      <c r="B1020" s="482" t="s">
        <v>1729</v>
      </c>
      <c r="C1020" s="159" t="s">
        <v>147</v>
      </c>
      <c r="D1020" s="159" t="s">
        <v>226</v>
      </c>
      <c r="E1020" s="187" t="s">
        <v>285</v>
      </c>
      <c r="F1020" s="2"/>
      <c r="G1020" s="187" t="e">
        <f>+VLOOKUP(Table_1[[#This Row],[Account]],BV_Data_An_Cour!$L:$Q,6,0)</f>
        <v>#N/A</v>
      </c>
      <c r="H1020" s="160"/>
    </row>
    <row r="1021" spans="1:8" ht="15" customHeight="1">
      <c r="A1021" s="474" t="s">
        <v>867</v>
      </c>
      <c r="B1021" s="482" t="s">
        <v>1720</v>
      </c>
      <c r="C1021" s="159" t="s">
        <v>1893</v>
      </c>
      <c r="D1021" s="159" t="s">
        <v>226</v>
      </c>
      <c r="E1021" s="187" t="s">
        <v>285</v>
      </c>
      <c r="F1021" s="2"/>
      <c r="G1021" s="187" t="e">
        <f>+VLOOKUP(Table_1[[#This Row],[Account]],BV_Data_An_Cour!$L:$Q,6,0)</f>
        <v>#N/A</v>
      </c>
      <c r="H1021" s="160"/>
    </row>
    <row r="1022" spans="1:8" ht="15" customHeight="1">
      <c r="A1022" s="476" t="s">
        <v>807</v>
      </c>
      <c r="B1022" s="483" t="s">
        <v>1641</v>
      </c>
      <c r="C1022" s="159" t="s">
        <v>1894</v>
      </c>
      <c r="D1022" s="159" t="s">
        <v>226</v>
      </c>
      <c r="E1022" s="187" t="s">
        <v>285</v>
      </c>
      <c r="F1022" s="2"/>
      <c r="G1022" s="187" t="e">
        <f>+VLOOKUP(Table_1[[#This Row],[Account]],BV_Data_An_Cour!$L:$Q,6,0)</f>
        <v>#N/A</v>
      </c>
      <c r="H1022" s="160"/>
    </row>
    <row r="1023" spans="1:8" ht="15" customHeight="1">
      <c r="A1023" s="157" t="s">
        <v>802</v>
      </c>
      <c r="B1023" s="158" t="s">
        <v>801</v>
      </c>
      <c r="C1023" s="159" t="s">
        <v>185</v>
      </c>
      <c r="D1023" s="159" t="s">
        <v>244</v>
      </c>
      <c r="E1023" s="187" t="s">
        <v>285</v>
      </c>
      <c r="F1023" s="187"/>
      <c r="G1023" s="187" t="e">
        <f>+VLOOKUP(Table_1[[#This Row],[Account]],BV_Data_An_Cour!$L:$Q,6,0)</f>
        <v>#N/A</v>
      </c>
      <c r="H1023" s="160"/>
    </row>
    <row r="1024" spans="1:8" ht="15" customHeight="1">
      <c r="A1024" s="474" t="s">
        <v>831</v>
      </c>
      <c r="B1024" s="482" t="s">
        <v>1062</v>
      </c>
      <c r="C1024" s="159" t="s">
        <v>185</v>
      </c>
      <c r="D1024" s="159" t="s">
        <v>251</v>
      </c>
      <c r="E1024" s="187" t="s">
        <v>285</v>
      </c>
      <c r="F1024" s="2"/>
      <c r="G1024" s="187" t="e">
        <f>+VLOOKUP(Table_1[[#This Row],[Account]],BV_Data_An_Cour!$L:$Q,6,0)</f>
        <v>#N/A</v>
      </c>
      <c r="H1024" s="160"/>
    </row>
    <row r="1025" spans="1:29" ht="15" customHeight="1">
      <c r="A1025" s="162" t="s">
        <v>474</v>
      </c>
      <c r="B1025" s="163" t="s">
        <v>1153</v>
      </c>
      <c r="C1025" s="159" t="s">
        <v>185</v>
      </c>
      <c r="D1025" s="159" t="s">
        <v>250</v>
      </c>
      <c r="E1025" s="187" t="s">
        <v>285</v>
      </c>
      <c r="F1025" s="187"/>
      <c r="G1025" s="187" t="e">
        <f>+VLOOKUP(Table_1[[#This Row],[Account]],BV_Data_An_Cour!$L:$Q,6,0)</f>
        <v>#N/A</v>
      </c>
      <c r="H1025" s="160"/>
    </row>
    <row r="1026" spans="1:29" ht="15" customHeight="1">
      <c r="A1026" s="157" t="s">
        <v>1481</v>
      </c>
      <c r="B1026" s="158" t="s">
        <v>1480</v>
      </c>
      <c r="C1026" s="159" t="s">
        <v>185</v>
      </c>
      <c r="D1026" s="159" t="s">
        <v>244</v>
      </c>
      <c r="E1026" s="187" t="s">
        <v>285</v>
      </c>
      <c r="F1026" s="2"/>
      <c r="G1026" s="187" t="e">
        <f>+VLOOKUP(Table_1[[#This Row],[Account]],BV_Data_An_Cour!$L:$Q,6,0)</f>
        <v>#N/A</v>
      </c>
      <c r="H1026" s="160"/>
    </row>
    <row r="1027" spans="1:29" ht="15" customHeight="1">
      <c r="A1027" s="162" t="s">
        <v>879</v>
      </c>
      <c r="B1027" s="163" t="s">
        <v>1717</v>
      </c>
      <c r="C1027" s="159" t="s">
        <v>75</v>
      </c>
      <c r="D1027" s="159" t="s">
        <v>1896</v>
      </c>
      <c r="E1027" s="187" t="s">
        <v>285</v>
      </c>
      <c r="F1027" s="2"/>
      <c r="G1027" s="187" t="str">
        <f>+VLOOKUP(Table_1[[#This Row],[Account]],BV_Data_An_Cour!$L:$Q,6,0)</f>
        <v>7-Dépenses</v>
      </c>
      <c r="H1027" s="160"/>
      <c r="K1027" s="2"/>
    </row>
    <row r="1028" spans="1:29" ht="15" customHeight="1">
      <c r="A1028" s="157" t="s">
        <v>828</v>
      </c>
      <c r="B1028" s="158" t="s">
        <v>1659</v>
      </c>
      <c r="C1028" s="159" t="s">
        <v>140</v>
      </c>
      <c r="D1028" s="159" t="s">
        <v>1896</v>
      </c>
      <c r="E1028" s="187" t="s">
        <v>285</v>
      </c>
      <c r="F1028" s="2"/>
      <c r="G1028" s="187" t="str">
        <f>+VLOOKUP(Table_1[[#This Row],[Account]],BV_Data_An_Cour!$L:$Q,6,0)</f>
        <v>7-Dépenses</v>
      </c>
      <c r="H1028" s="160"/>
      <c r="K1028" s="2"/>
    </row>
    <row r="1029" spans="1:29" ht="15" customHeight="1">
      <c r="A1029" s="163" t="s">
        <v>850</v>
      </c>
      <c r="B1029" s="163" t="s">
        <v>1679</v>
      </c>
      <c r="C1029" s="159" t="s">
        <v>147</v>
      </c>
      <c r="D1029" s="159" t="s">
        <v>1896</v>
      </c>
      <c r="E1029" s="187" t="s">
        <v>285</v>
      </c>
      <c r="F1029" s="2"/>
      <c r="G1029" s="187" t="str">
        <f>+VLOOKUP(Table_1[[#This Row],[Account]],BV_Data_An_Cour!$L:$Q,6,0)</f>
        <v>7-Dépenses</v>
      </c>
      <c r="H1029" s="160"/>
    </row>
    <row r="1030" spans="1:29" ht="15" customHeight="1">
      <c r="A1030" s="474" t="s">
        <v>848</v>
      </c>
      <c r="B1030" s="482" t="s">
        <v>1676</v>
      </c>
      <c r="C1030" s="159" t="s">
        <v>1893</v>
      </c>
      <c r="D1030" s="159" t="s">
        <v>1896</v>
      </c>
      <c r="E1030" s="187" t="s">
        <v>285</v>
      </c>
      <c r="F1030" s="2"/>
      <c r="G1030" s="187" t="str">
        <f>+VLOOKUP(Table_1[[#This Row],[Account]],BV_Data_An_Cour!$L:$Q,6,0)</f>
        <v>7-Dépenses</v>
      </c>
      <c r="H1030" s="160"/>
    </row>
    <row r="1031" spans="1:29" ht="15" customHeight="1">
      <c r="A1031" s="476" t="s">
        <v>795</v>
      </c>
      <c r="B1031" s="483" t="s">
        <v>1622</v>
      </c>
      <c r="C1031" s="159" t="s">
        <v>1894</v>
      </c>
      <c r="D1031" s="159" t="s">
        <v>1896</v>
      </c>
      <c r="E1031" s="187" t="s">
        <v>285</v>
      </c>
      <c r="F1031" s="2"/>
      <c r="G1031" s="187" t="e">
        <f>+VLOOKUP(Table_1[[#This Row],[Account]],BV_Data_An_Cour!$L:$Q,6,0)</f>
        <v>#N/A</v>
      </c>
      <c r="H1031" s="160"/>
    </row>
    <row r="1032" spans="1:29" ht="15.75" customHeight="1">
      <c r="A1032" s="169" t="s">
        <v>878</v>
      </c>
      <c r="B1032" s="169" t="s">
        <v>1229</v>
      </c>
      <c r="C1032" s="159" t="s">
        <v>75</v>
      </c>
      <c r="D1032" s="159" t="s">
        <v>233</v>
      </c>
      <c r="E1032" s="187" t="s">
        <v>285</v>
      </c>
      <c r="F1032" s="2"/>
      <c r="G1032" s="187" t="str">
        <f>+VLOOKUP(Table_1[[#This Row],[Account]],BV_Data_An_Cour!$L:$Q,6,0)</f>
        <v>7-Dépenses</v>
      </c>
      <c r="H1032" s="160"/>
    </row>
    <row r="1033" spans="1:29" ht="15.75" customHeight="1">
      <c r="A1033" s="474" t="s">
        <v>827</v>
      </c>
      <c r="B1033" s="482" t="s">
        <v>1235</v>
      </c>
      <c r="C1033" s="159" t="s">
        <v>140</v>
      </c>
      <c r="D1033" s="159" t="s">
        <v>233</v>
      </c>
      <c r="E1033" s="187" t="s">
        <v>285</v>
      </c>
      <c r="F1033" s="2"/>
      <c r="G1033" s="187" t="str">
        <f>+VLOOKUP(Table_1[[#This Row],[Account]],BV_Data_An_Cour!$L:$Q,6,0)</f>
        <v>7-Dépenses</v>
      </c>
      <c r="H1033" s="160"/>
    </row>
    <row r="1034" spans="1:29" ht="15.75" customHeight="1">
      <c r="A1034" s="474" t="s">
        <v>849</v>
      </c>
      <c r="B1034" s="482" t="s">
        <v>1231</v>
      </c>
      <c r="C1034" s="159" t="s">
        <v>147</v>
      </c>
      <c r="D1034" s="159" t="s">
        <v>233</v>
      </c>
      <c r="E1034" s="187" t="s">
        <v>285</v>
      </c>
      <c r="F1034" s="2"/>
      <c r="G1034" s="187" t="str">
        <f>+VLOOKUP(Table_1[[#This Row],[Account]],BV_Data_An_Cour!$L:$Q,6,0)</f>
        <v>7-Dépenses</v>
      </c>
      <c r="H1034" s="160"/>
      <c r="K1034" s="2"/>
    </row>
    <row r="1035" spans="1:29" ht="15.75" customHeight="1">
      <c r="A1035" s="162" t="s">
        <v>846</v>
      </c>
      <c r="B1035" s="163" t="s">
        <v>1232</v>
      </c>
      <c r="C1035" s="159" t="s">
        <v>1893</v>
      </c>
      <c r="D1035" s="159" t="s">
        <v>233</v>
      </c>
      <c r="E1035" s="187" t="s">
        <v>285</v>
      </c>
      <c r="F1035" s="2"/>
      <c r="G1035" s="187" t="str">
        <f>+VLOOKUP(Table_1[[#This Row],[Account]],BV_Data_An_Cour!$L:$Q,6,0)</f>
        <v>7-Dépenses</v>
      </c>
      <c r="H1035" s="160"/>
    </row>
    <row r="1036" spans="1:29" ht="15.75" customHeight="1">
      <c r="A1036" s="476" t="s">
        <v>793</v>
      </c>
      <c r="B1036" s="483" t="s">
        <v>1240</v>
      </c>
      <c r="C1036" s="159" t="s">
        <v>1894</v>
      </c>
      <c r="D1036" s="159" t="s">
        <v>233</v>
      </c>
      <c r="E1036" s="187" t="s">
        <v>285</v>
      </c>
      <c r="F1036" s="2"/>
      <c r="G1036" s="187" t="e">
        <f>+VLOOKUP(Table_1[[#This Row],[Account]],BV_Data_An_Cour!$L:$Q,6,0)</f>
        <v>#N/A</v>
      </c>
      <c r="H1036" s="160"/>
    </row>
    <row r="1037" spans="1:29" ht="15.75" customHeight="1">
      <c r="A1037" s="749" t="s">
        <v>2513</v>
      </c>
      <c r="B1037" s="750" t="s">
        <v>2512</v>
      </c>
      <c r="C1037" s="159" t="s">
        <v>75</v>
      </c>
      <c r="D1037" s="159" t="s">
        <v>1896</v>
      </c>
      <c r="E1037" s="187" t="s">
        <v>285</v>
      </c>
      <c r="F1037" s="2"/>
      <c r="G1037" s="187" t="e">
        <f>+VLOOKUP(Table_1[[#This Row],[Account]],BV_Data_An_Cour!$L:$Q,6,0)</f>
        <v>#N/A</v>
      </c>
      <c r="H1037" s="160"/>
    </row>
    <row r="1038" spans="1:29" ht="15.75" customHeight="1">
      <c r="A1038" s="749" t="s">
        <v>2515</v>
      </c>
      <c r="B1038" s="750" t="s">
        <v>2514</v>
      </c>
      <c r="C1038" s="159" t="s">
        <v>140</v>
      </c>
      <c r="D1038" s="159" t="s">
        <v>1896</v>
      </c>
      <c r="E1038" s="187" t="s">
        <v>285</v>
      </c>
      <c r="F1038" s="2"/>
      <c r="G1038" s="187" t="e">
        <f>+VLOOKUP(Table_1[[#This Row],[Account]],BV_Data_An_Cour!$L:$Q,6,0)</f>
        <v>#N/A</v>
      </c>
      <c r="H1038" s="160"/>
    </row>
    <row r="1039" spans="1:29" ht="15.75" customHeight="1">
      <c r="A1039" s="162" t="s">
        <v>2897</v>
      </c>
      <c r="B1039" s="158" t="s">
        <v>2896</v>
      </c>
      <c r="C1039" s="159" t="s">
        <v>147</v>
      </c>
      <c r="D1039" s="159" t="s">
        <v>1896</v>
      </c>
      <c r="E1039" s="187" t="s">
        <v>285</v>
      </c>
      <c r="F1039" s="2"/>
      <c r="G1039" s="187" t="e">
        <f>+VLOOKUP(Table_1[[#This Row],[Account]],BV_Data_An_Cour!$L:$Q,6,0)</f>
        <v>#N/A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2899</v>
      </c>
      <c r="B1040" s="158" t="s">
        <v>2898</v>
      </c>
      <c r="C1040" s="159" t="s">
        <v>167</v>
      </c>
      <c r="D1040" s="159" t="s">
        <v>1896</v>
      </c>
      <c r="E1040" s="187" t="s">
        <v>285</v>
      </c>
      <c r="F1040" s="2"/>
      <c r="G1040" s="187" t="e">
        <f>+VLOOKUP(Table_1[[#This Row],[Account]],BV_Data_An_Cour!$L:$Q,6,0)</f>
        <v>#N/A</v>
      </c>
      <c r="H1040" s="160"/>
    </row>
    <row r="1041" spans="1:11" ht="15.75" customHeight="1">
      <c r="A1041" s="162" t="s">
        <v>2901</v>
      </c>
      <c r="B1041" s="158" t="s">
        <v>2900</v>
      </c>
      <c r="C1041" s="159" t="s">
        <v>163</v>
      </c>
      <c r="D1041" s="159" t="s">
        <v>1896</v>
      </c>
      <c r="E1041" s="187" t="s">
        <v>285</v>
      </c>
      <c r="F1041" s="2"/>
      <c r="G1041" s="187" t="e">
        <f>+VLOOKUP(Table_1[[#This Row],[Account]],BV_Data_An_Cour!$L:$Q,6,0)</f>
        <v>#N/A</v>
      </c>
      <c r="H1041" s="160"/>
    </row>
    <row r="1042" spans="1:11" ht="15.75" customHeight="1">
      <c r="A1042" s="162" t="s">
        <v>865</v>
      </c>
      <c r="B1042" s="163" t="s">
        <v>1719</v>
      </c>
      <c r="C1042" s="159" t="s">
        <v>75</v>
      </c>
      <c r="D1042" s="159" t="s">
        <v>228</v>
      </c>
      <c r="E1042" s="187" t="s">
        <v>285</v>
      </c>
      <c r="F1042" s="2"/>
      <c r="G1042" s="187" t="str">
        <f>+VLOOKUP(Table_1[[#This Row],[Account]],BV_Data_An_Cour!$L:$Q,6,0)</f>
        <v>7-Dépenses</v>
      </c>
      <c r="H1042" s="160"/>
    </row>
    <row r="1043" spans="1:11" ht="15.75" customHeight="1">
      <c r="A1043" s="476" t="s">
        <v>817</v>
      </c>
      <c r="B1043" s="483" t="s">
        <v>1660</v>
      </c>
      <c r="C1043" s="159" t="s">
        <v>140</v>
      </c>
      <c r="D1043" s="159" t="s">
        <v>228</v>
      </c>
      <c r="E1043" s="187" t="s">
        <v>285</v>
      </c>
      <c r="F1043" s="2"/>
      <c r="G1043" s="187" t="str">
        <f>+VLOOKUP(Table_1[[#This Row],[Account]],BV_Data_An_Cour!$L:$Q,6,0)</f>
        <v>7-Dépenses</v>
      </c>
      <c r="H1043" s="160"/>
    </row>
    <row r="1044" spans="1:11" ht="15.75" customHeight="1">
      <c r="A1044" s="162" t="s">
        <v>839</v>
      </c>
      <c r="B1044" s="163" t="s">
        <v>1684</v>
      </c>
      <c r="C1044" s="159" t="s">
        <v>147</v>
      </c>
      <c r="D1044" s="159" t="s">
        <v>228</v>
      </c>
      <c r="E1044" s="187" t="s">
        <v>285</v>
      </c>
      <c r="F1044" s="2"/>
      <c r="G1044" s="187" t="str">
        <f>+VLOOKUP(Table_1[[#This Row],[Account]],BV_Data_An_Cour!$L:$Q,6,0)</f>
        <v>7-Dépenses</v>
      </c>
      <c r="H1044" s="160"/>
    </row>
    <row r="1045" spans="1:11" ht="15.75" customHeight="1">
      <c r="A1045" s="474" t="s">
        <v>835</v>
      </c>
      <c r="B1045" s="482" t="s">
        <v>1678</v>
      </c>
      <c r="C1045" s="159" t="s">
        <v>1893</v>
      </c>
      <c r="D1045" s="159" t="s">
        <v>228</v>
      </c>
      <c r="E1045" s="187" t="s">
        <v>285</v>
      </c>
      <c r="F1045" s="2"/>
      <c r="G1045" s="187" t="str">
        <f>+VLOOKUP(Table_1[[#This Row],[Account]],BV_Data_An_Cour!$L:$Q,6,0)</f>
        <v>7-Dépenses</v>
      </c>
      <c r="H1045" s="160"/>
    </row>
    <row r="1046" spans="1:11" ht="15.75" customHeight="1">
      <c r="A1046" s="476" t="s">
        <v>784</v>
      </c>
      <c r="B1046" s="483" t="s">
        <v>1623</v>
      </c>
      <c r="C1046" s="159" t="s">
        <v>1894</v>
      </c>
      <c r="D1046" s="159" t="s">
        <v>228</v>
      </c>
      <c r="E1046" s="187" t="s">
        <v>285</v>
      </c>
      <c r="F1046" s="2"/>
      <c r="G1046" s="187" t="e">
        <f>+VLOOKUP(Table_1[[#This Row],[Account]],BV_Data_An_Cour!$L:$Q,6,0)</f>
        <v>#N/A</v>
      </c>
      <c r="H1046" s="160"/>
    </row>
    <row r="1047" spans="1:11" ht="15.75" customHeight="1">
      <c r="A1047" s="158" t="s">
        <v>687</v>
      </c>
      <c r="B1047" s="158" t="s">
        <v>1183</v>
      </c>
      <c r="C1047" s="159" t="s">
        <v>147</v>
      </c>
      <c r="D1047" s="159" t="s">
        <v>237</v>
      </c>
      <c r="E1047" s="187" t="s">
        <v>285</v>
      </c>
      <c r="F1047" s="187"/>
      <c r="G1047" s="187" t="str">
        <f>+VLOOKUP(Table_1[[#This Row],[Account]],BV_Data_An_Cour!$L:$Q,6,0)</f>
        <v>7-Dépenses</v>
      </c>
      <c r="H1047" s="160"/>
      <c r="K1047" s="2"/>
    </row>
    <row r="1048" spans="1:11" ht="15.75" customHeight="1">
      <c r="A1048" s="162" t="s">
        <v>894</v>
      </c>
      <c r="B1048" s="163" t="s">
        <v>1175</v>
      </c>
      <c r="C1048" s="159" t="s">
        <v>75</v>
      </c>
      <c r="D1048" s="159" t="s">
        <v>1895</v>
      </c>
      <c r="E1048" s="187" t="s">
        <v>285</v>
      </c>
      <c r="F1048" s="2"/>
      <c r="G1048" s="187" t="str">
        <f>+VLOOKUP(Table_1[[#This Row],[Account]],BV_Data_An_Cour!$L:$Q,6,0)</f>
        <v>7-Dépenses</v>
      </c>
      <c r="H1048" s="160"/>
    </row>
    <row r="1049" spans="1:11" ht="15.75" customHeight="1">
      <c r="A1049" s="1189" t="s">
        <v>836</v>
      </c>
      <c r="B1049" s="1198" t="s">
        <v>1214</v>
      </c>
      <c r="C1049" s="159" t="s">
        <v>140</v>
      </c>
      <c r="D1049" s="159" t="s">
        <v>1895</v>
      </c>
      <c r="E1049" s="187" t="s">
        <v>285</v>
      </c>
      <c r="F1049" s="2"/>
      <c r="G1049" s="187" t="str">
        <f>+VLOOKUP(Table_1[[#This Row],[Account]],BV_Data_An_Cour!$L:$Q,6,0)</f>
        <v>7-Dépenses</v>
      </c>
      <c r="H1049" s="160"/>
    </row>
    <row r="1050" spans="1:11" ht="15.75" customHeight="1">
      <c r="A1050" s="474" t="s">
        <v>944</v>
      </c>
      <c r="B1050" s="482" t="s">
        <v>1173</v>
      </c>
      <c r="C1050" s="159" t="s">
        <v>147</v>
      </c>
      <c r="D1050" s="159" t="s">
        <v>1895</v>
      </c>
      <c r="E1050" s="187" t="s">
        <v>285</v>
      </c>
      <c r="F1050" s="2"/>
      <c r="G1050" s="187" t="str">
        <f>+VLOOKUP(Table_1[[#This Row],[Account]],BV_Data_An_Cour!$L:$Q,6,0)</f>
        <v>7-Dépenses</v>
      </c>
      <c r="H1050" s="160"/>
    </row>
    <row r="1051" spans="1:11" ht="15.75" customHeight="1">
      <c r="A1051" s="162" t="s">
        <v>866</v>
      </c>
      <c r="B1051" s="163" t="s">
        <v>1188</v>
      </c>
      <c r="C1051" s="159" t="s">
        <v>1893</v>
      </c>
      <c r="D1051" s="159" t="s">
        <v>1895</v>
      </c>
      <c r="E1051" s="187" t="s">
        <v>285</v>
      </c>
      <c r="F1051" s="2"/>
      <c r="G1051" s="187" t="str">
        <f>+VLOOKUP(Table_1[[#This Row],[Account]],BV_Data_An_Cour!$L:$Q,6,0)</f>
        <v>7-Dépenses</v>
      </c>
      <c r="H1051" s="160"/>
    </row>
    <row r="1052" spans="1:11" ht="15.75" customHeight="1">
      <c r="A1052" s="168" t="s">
        <v>805</v>
      </c>
      <c r="B1052" s="169" t="s">
        <v>1226</v>
      </c>
      <c r="C1052" s="159" t="s">
        <v>1894</v>
      </c>
      <c r="D1052" s="159" t="s">
        <v>1895</v>
      </c>
      <c r="E1052" s="187" t="s">
        <v>285</v>
      </c>
      <c r="F1052" s="2"/>
      <c r="G1052" s="187" t="e">
        <f>+VLOOKUP(Table_1[[#This Row],[Account]],BV_Data_An_Cour!$L:$Q,6,0)</f>
        <v>#N/A</v>
      </c>
      <c r="H1052" s="160"/>
    </row>
    <row r="1053" spans="1:11" ht="15.75" customHeight="1">
      <c r="A1053" s="168" t="s">
        <v>789</v>
      </c>
      <c r="B1053" s="169" t="s">
        <v>1615</v>
      </c>
      <c r="C1053" s="159" t="s">
        <v>75</v>
      </c>
      <c r="D1053" s="159" t="s">
        <v>239</v>
      </c>
      <c r="E1053" s="187" t="s">
        <v>285</v>
      </c>
      <c r="F1053" s="2"/>
      <c r="G1053" s="187" t="str">
        <f>+VLOOKUP(Table_1[[#This Row],[Account]],BV_Data_An_Cour!$L:$Q,6,0)</f>
        <v>7-Dépenses</v>
      </c>
      <c r="H1053" s="160"/>
    </row>
    <row r="1054" spans="1:11" ht="15.75" customHeight="1">
      <c r="A1054" s="169" t="s">
        <v>771</v>
      </c>
      <c r="B1054" s="169" t="s">
        <v>1607</v>
      </c>
      <c r="C1054" s="159" t="s">
        <v>140</v>
      </c>
      <c r="D1054" s="159" t="s">
        <v>239</v>
      </c>
      <c r="E1054" s="187" t="s">
        <v>285</v>
      </c>
      <c r="F1054" s="2"/>
      <c r="G1054" s="187" t="str">
        <f>+VLOOKUP(Table_1[[#This Row],[Account]],BV_Data_An_Cour!$L:$Q,6,0)</f>
        <v>7-Dépenses</v>
      </c>
      <c r="H1054" s="160"/>
    </row>
    <row r="1055" spans="1:11" ht="15.75" customHeight="1">
      <c r="A1055" s="163" t="s">
        <v>775</v>
      </c>
      <c r="B1055" s="163" t="s">
        <v>1611</v>
      </c>
      <c r="C1055" s="159" t="s">
        <v>147</v>
      </c>
      <c r="D1055" s="159" t="s">
        <v>239</v>
      </c>
      <c r="E1055" s="187" t="s">
        <v>285</v>
      </c>
      <c r="F1055" s="2"/>
      <c r="G1055" s="187" t="str">
        <f>+VLOOKUP(Table_1[[#This Row],[Account]],BV_Data_An_Cour!$L:$Q,6,0)</f>
        <v>7-Dépenses</v>
      </c>
      <c r="H1055" s="160"/>
    </row>
    <row r="1056" spans="1:11" ht="15.75" customHeight="1">
      <c r="A1056" s="168" t="s">
        <v>774</v>
      </c>
      <c r="B1056" s="169" t="s">
        <v>1610</v>
      </c>
      <c r="C1056" s="159" t="s">
        <v>1893</v>
      </c>
      <c r="D1056" s="159" t="s">
        <v>239</v>
      </c>
      <c r="E1056" s="187" t="s">
        <v>285</v>
      </c>
      <c r="F1056" s="2"/>
      <c r="G1056" s="187" t="str">
        <f>+VLOOKUP(Table_1[[#This Row],[Account]],BV_Data_An_Cour!$L:$Q,6,0)</f>
        <v>7-Dépenses</v>
      </c>
      <c r="H1056" s="160"/>
    </row>
    <row r="1057" spans="1:8" ht="15.75" customHeight="1">
      <c r="A1057" s="168" t="s">
        <v>765</v>
      </c>
      <c r="B1057" s="169" t="s">
        <v>1605</v>
      </c>
      <c r="C1057" s="159" t="s">
        <v>1894</v>
      </c>
      <c r="D1057" s="159" t="s">
        <v>239</v>
      </c>
      <c r="E1057" s="187" t="s">
        <v>285</v>
      </c>
      <c r="F1057" s="2"/>
      <c r="G1057" s="187" t="e">
        <f>+VLOOKUP(Table_1[[#This Row],[Account]],BV_Data_An_Cour!$L:$Q,6,0)</f>
        <v>#N/A</v>
      </c>
      <c r="H1057" s="160"/>
    </row>
    <row r="1058" spans="1:8" ht="15.75" customHeight="1">
      <c r="A1058" s="162" t="s">
        <v>2429</v>
      </c>
      <c r="B1058" s="158" t="s">
        <v>2427</v>
      </c>
      <c r="C1058" s="159" t="s">
        <v>185</v>
      </c>
      <c r="D1058" s="1012" t="s">
        <v>2417</v>
      </c>
      <c r="E1058" s="493"/>
      <c r="F1058" s="160"/>
      <c r="G1058" s="493"/>
      <c r="H1058" s="160"/>
    </row>
    <row r="1059" spans="1:8" ht="15.75" customHeight="1">
      <c r="A1059" s="174" t="s">
        <v>2996</v>
      </c>
      <c r="B1059" s="158" t="s">
        <v>2995</v>
      </c>
      <c r="C1059" s="159" t="s">
        <v>272</v>
      </c>
      <c r="D1059" s="159" t="s">
        <v>25</v>
      </c>
      <c r="E1059" s="187" t="s">
        <v>285</v>
      </c>
      <c r="F1059" s="160"/>
      <c r="G1059" s="493"/>
      <c r="H1059" s="160"/>
    </row>
    <row r="1060" spans="1:8" ht="15.75" customHeight="1">
      <c r="A1060" s="168" t="s">
        <v>3002</v>
      </c>
      <c r="B1060" s="169" t="s">
        <v>3001</v>
      </c>
      <c r="C1060" s="159" t="s">
        <v>272</v>
      </c>
      <c r="D1060" s="159" t="s">
        <v>43</v>
      </c>
      <c r="E1060" s="187" t="s">
        <v>285</v>
      </c>
      <c r="F1060" s="2"/>
      <c r="G1060" s="187" t="str">
        <f>+VLOOKUP(Table_1[[#This Row],[Account]],BV_Data_An_Cour!$L:$Q,6,0)</f>
        <v>2-Actifs</v>
      </c>
      <c r="H1060" s="160"/>
    </row>
    <row r="1061" spans="1:8" ht="15.75" customHeight="1">
      <c r="A1061" s="168" t="s">
        <v>3004</v>
      </c>
      <c r="B1061" s="169" t="s">
        <v>3003</v>
      </c>
      <c r="C1061" s="159" t="s">
        <v>272</v>
      </c>
      <c r="D1061" s="159" t="s">
        <v>25</v>
      </c>
      <c r="E1061" s="187" t="s">
        <v>285</v>
      </c>
      <c r="F1061" s="2"/>
      <c r="G1061" s="187" t="str">
        <f>+VLOOKUP(Table_1[[#This Row],[Account]],BV_Data_An_Cour!$L:$Q,6,0)</f>
        <v>2-Actifs</v>
      </c>
      <c r="H1061" s="160"/>
    </row>
    <row r="1062" spans="1:8" ht="15.75" customHeight="1">
      <c r="A1062" s="168" t="s">
        <v>3006</v>
      </c>
      <c r="B1062" s="169" t="s">
        <v>3005</v>
      </c>
      <c r="C1062" s="159" t="s">
        <v>272</v>
      </c>
      <c r="D1062" s="159" t="s">
        <v>25</v>
      </c>
      <c r="E1062" s="187" t="s">
        <v>285</v>
      </c>
      <c r="F1062" s="2"/>
      <c r="G1062" s="187" t="str">
        <f>+VLOOKUP(Table_1[[#This Row],[Account]],BV_Data_An_Cour!$L:$Q,6,0)</f>
        <v>2-Actifs</v>
      </c>
      <c r="H1062" s="160"/>
    </row>
    <row r="1063" spans="1:8" ht="15.75" customHeight="1">
      <c r="A1063" s="168" t="s">
        <v>3010</v>
      </c>
      <c r="B1063" s="169" t="s">
        <v>3009</v>
      </c>
      <c r="C1063" s="159" t="s">
        <v>272</v>
      </c>
      <c r="D1063" s="159" t="s">
        <v>65</v>
      </c>
      <c r="E1063" s="187" t="s">
        <v>285</v>
      </c>
      <c r="F1063" s="2"/>
      <c r="G1063" s="187" t="str">
        <f>+VLOOKUP(Table_1[[#This Row],[Account]],BV_Data_An_Cour!$L:$Q,6,0)</f>
        <v>2-Actifs</v>
      </c>
      <c r="H1063" s="160"/>
    </row>
    <row r="1064" spans="1:8" ht="15.75" customHeight="1">
      <c r="A1064" s="168" t="s">
        <v>3019</v>
      </c>
      <c r="B1064" s="169" t="s">
        <v>3018</v>
      </c>
      <c r="C1064" s="159" t="s">
        <v>272</v>
      </c>
      <c r="D1064" s="159" t="s">
        <v>65</v>
      </c>
      <c r="E1064" s="187" t="s">
        <v>285</v>
      </c>
      <c r="F1064" s="2"/>
      <c r="G1064" s="187" t="str">
        <f>+VLOOKUP(Table_1[[#This Row],[Account]],BV_Data_An_Cour!$L:$Q,6,0)</f>
        <v>2-Actifs</v>
      </c>
      <c r="H1064" s="160"/>
    </row>
    <row r="1065" spans="1:8" ht="15.75" customHeight="1">
      <c r="A1065" s="168" t="s">
        <v>3013</v>
      </c>
      <c r="B1065" s="169" t="s">
        <v>3012</v>
      </c>
      <c r="C1065" s="159" t="s">
        <v>272</v>
      </c>
      <c r="D1065" s="159" t="s">
        <v>54</v>
      </c>
      <c r="E1065" s="187" t="s">
        <v>285</v>
      </c>
      <c r="F1065" s="2"/>
      <c r="G1065" s="187" t="str">
        <f>+VLOOKUP(Table_1[[#This Row],[Account]],BV_Data_An_Cour!$L:$Q,6,0)</f>
        <v>3-Passifs</v>
      </c>
      <c r="H1065" s="160"/>
    </row>
    <row r="1066" spans="1:8" ht="15.75" customHeight="1">
      <c r="A1066" s="168" t="s">
        <v>3051</v>
      </c>
      <c r="B1066" s="169" t="s">
        <v>3050</v>
      </c>
      <c r="C1066" s="159" t="s">
        <v>272</v>
      </c>
      <c r="D1066" s="159" t="s">
        <v>43</v>
      </c>
      <c r="E1066" s="187" t="s">
        <v>285</v>
      </c>
      <c r="F1066" s="2"/>
      <c r="G1066" s="187" t="str">
        <f>+VLOOKUP(Table_1[[#This Row],[Account]],BV_Data_An_Cour!$L:$Q,6,0)</f>
        <v>2-Actifs</v>
      </c>
      <c r="H1066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66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10" r:id="rId1" xr:uid="{00000000-0004-0000-0800-000000000000}"/>
    <hyperlink ref="A480" r:id="rId2" xr:uid="{00000000-0004-0000-0800-000001000000}"/>
    <hyperlink ref="A688" r:id="rId3" xr:uid="{00000000-0004-0000-0800-000002000000}"/>
    <hyperlink ref="A194" r:id="rId4" xr:uid="{00000000-0004-0000-0800-000003000000}"/>
    <hyperlink ref="A545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K1132"/>
  <sheetViews>
    <sheetView zoomScale="55" zoomScaleNormal="55" zoomScaleSheetLayoutView="55" workbookViewId="0">
      <pane xSplit="2" ySplit="1" topLeftCell="C278" activePane="bottomRight" state="frozen"/>
      <selection sqref="A1:XFD1048576"/>
      <selection pane="topRight" sqref="A1:XFD1048576"/>
      <selection pane="bottomLeft" sqref="A1:XFD1048576"/>
      <selection pane="bottomRight" activeCell="H304" sqref="H304"/>
    </sheetView>
  </sheetViews>
  <sheetFormatPr baseColWidth="10" defaultColWidth="11" defaultRowHeight="15"/>
  <cols>
    <col min="1" max="1" width="56.25" style="536" customWidth="1"/>
    <col min="2" max="2" width="34.625" style="506" customWidth="1"/>
    <col min="3" max="3" width="16.75" style="506" customWidth="1"/>
    <col min="4" max="4" width="17.125" style="506" bestFit="1" customWidth="1"/>
    <col min="5" max="5" width="17.375" style="506" bestFit="1" customWidth="1"/>
    <col min="6" max="6" width="16.75" style="506" customWidth="1"/>
    <col min="7" max="7" width="14.5" style="506" customWidth="1"/>
    <col min="8" max="8" width="15.875" style="506" customWidth="1"/>
    <col min="9" max="9" width="16.75" style="506" customWidth="1"/>
    <col min="10" max="10" width="14.5" style="506" customWidth="1"/>
    <col min="11" max="11" width="15.875" style="506" customWidth="1"/>
    <col min="12" max="12" width="16.75" style="506" customWidth="1"/>
    <col min="13" max="13" width="14.5" style="506" customWidth="1"/>
    <col min="14" max="14" width="15.875" style="506" customWidth="1"/>
    <col min="15" max="15" width="16.75" style="506" customWidth="1"/>
    <col min="16" max="16" width="14.5" style="506" customWidth="1"/>
    <col min="17" max="17" width="15.875" style="506" customWidth="1"/>
    <col min="18" max="18" width="16.75" style="506" customWidth="1"/>
    <col min="19" max="19" width="14.5" style="506" customWidth="1"/>
    <col min="20" max="20" width="15.875" style="506" customWidth="1"/>
    <col min="21" max="21" width="16.75" style="506" customWidth="1"/>
    <col min="22" max="22" width="14.5" style="506" customWidth="1"/>
    <col min="23" max="23" width="15.875" style="506" customWidth="1"/>
    <col min="24" max="24" width="16.75" style="506" customWidth="1"/>
    <col min="25" max="25" width="14.5" style="506" customWidth="1"/>
    <col min="26" max="26" width="15.875" style="506" customWidth="1"/>
    <col min="27" max="27" width="16.75" style="506" customWidth="1"/>
    <col min="28" max="28" width="14.5" style="506" customWidth="1"/>
    <col min="29" max="29" width="15.875" style="506" customWidth="1"/>
    <col min="30" max="30" width="16.75" style="506" customWidth="1"/>
    <col min="31" max="31" width="14.5" style="506" customWidth="1"/>
    <col min="32" max="32" width="15.875" style="506" customWidth="1"/>
    <col min="33" max="33" width="16.75" style="506" customWidth="1"/>
    <col min="34" max="34" width="14.5" style="506" customWidth="1"/>
    <col min="35" max="35" width="15.875" style="506" customWidth="1"/>
    <col min="36" max="36" width="16.75" style="506" customWidth="1"/>
    <col min="37" max="37" width="14.5" style="506" customWidth="1"/>
    <col min="38" max="38" width="15.875" style="506" customWidth="1"/>
    <col min="39" max="39" width="16.75" style="506" customWidth="1"/>
    <col min="40" max="40" width="14.5" style="506" customWidth="1"/>
    <col min="41" max="41" width="15.875" style="506" customWidth="1"/>
    <col min="42" max="228" width="11" style="506"/>
    <col min="229" max="229" width="32.75" style="506" customWidth="1"/>
    <col min="230" max="230" width="14.5" style="506" customWidth="1"/>
    <col min="231" max="231" width="15.625" style="506" bestFit="1" customWidth="1"/>
    <col min="232" max="232" width="15.5" style="506" customWidth="1"/>
    <col min="233" max="233" width="15.625" style="506" customWidth="1"/>
    <col min="234" max="234" width="15.625" style="506" bestFit="1" customWidth="1"/>
    <col min="235" max="235" width="15.875" style="506" customWidth="1"/>
    <col min="236" max="236" width="14.875" style="506" customWidth="1"/>
    <col min="237" max="237" width="14.5" style="506" customWidth="1"/>
    <col min="238" max="238" width="15.875" style="506" customWidth="1"/>
    <col min="239" max="239" width="12" style="506" bestFit="1" customWidth="1"/>
    <col min="240" max="240" width="18.625" style="506" customWidth="1"/>
    <col min="241" max="241" width="15.125" style="506" customWidth="1"/>
    <col min="242" max="242" width="15.625" style="506" bestFit="1" customWidth="1"/>
    <col min="243" max="243" width="16.375" style="506" customWidth="1"/>
    <col min="244" max="244" width="13.875" style="506" customWidth="1"/>
    <col min="245" max="245" width="18.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75" style="506" customWidth="1"/>
    <col min="250" max="250" width="10.875" style="506" customWidth="1"/>
    <col min="251" max="251" width="10" style="506" customWidth="1"/>
    <col min="252" max="252" width="17.375" style="506" customWidth="1"/>
    <col min="253" max="253" width="10.875" style="506" customWidth="1"/>
    <col min="254" max="254" width="10" style="506" customWidth="1"/>
    <col min="255" max="255" width="16.125" style="506" customWidth="1"/>
    <col min="256" max="256" width="10.875" style="506" customWidth="1"/>
    <col min="257" max="257" width="12" style="506" customWidth="1"/>
    <col min="258" max="258" width="18.875" style="506" customWidth="1"/>
    <col min="259" max="259" width="10.875" style="506" customWidth="1"/>
    <col min="260" max="260" width="16.25" style="506" bestFit="1" customWidth="1"/>
    <col min="261" max="261" width="12.375" style="506" bestFit="1" customWidth="1"/>
    <col min="262" max="262" width="10.875" style="506" customWidth="1"/>
    <col min="263" max="263" width="10" style="506" customWidth="1"/>
    <col min="264" max="264" width="17.5" style="506" customWidth="1"/>
    <col min="265" max="265" width="10.875" style="506" customWidth="1"/>
    <col min="266" max="266" width="16" style="506" customWidth="1"/>
    <col min="267" max="267" width="12.375" style="506" bestFit="1" customWidth="1"/>
    <col min="268" max="484" width="11" style="506"/>
    <col min="485" max="485" width="32.75" style="506" customWidth="1"/>
    <col min="486" max="486" width="14.5" style="506" customWidth="1"/>
    <col min="487" max="487" width="15.625" style="506" bestFit="1" customWidth="1"/>
    <col min="488" max="488" width="15.5" style="506" customWidth="1"/>
    <col min="489" max="489" width="15.625" style="506" customWidth="1"/>
    <col min="490" max="490" width="15.625" style="506" bestFit="1" customWidth="1"/>
    <col min="491" max="491" width="15.875" style="506" customWidth="1"/>
    <col min="492" max="492" width="14.875" style="506" customWidth="1"/>
    <col min="493" max="493" width="14.5" style="506" customWidth="1"/>
    <col min="494" max="494" width="15.875" style="506" customWidth="1"/>
    <col min="495" max="495" width="12" style="506" bestFit="1" customWidth="1"/>
    <col min="496" max="496" width="18.625" style="506" customWidth="1"/>
    <col min="497" max="497" width="15.125" style="506" customWidth="1"/>
    <col min="498" max="498" width="15.625" style="506" bestFit="1" customWidth="1"/>
    <col min="499" max="499" width="16.375" style="506" customWidth="1"/>
    <col min="500" max="500" width="13.875" style="506" customWidth="1"/>
    <col min="501" max="501" width="18.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75" style="506" customWidth="1"/>
    <col min="506" max="506" width="10.875" style="506" customWidth="1"/>
    <col min="507" max="507" width="10" style="506" customWidth="1"/>
    <col min="508" max="508" width="17.375" style="506" customWidth="1"/>
    <col min="509" max="509" width="10.875" style="506" customWidth="1"/>
    <col min="510" max="510" width="10" style="506" customWidth="1"/>
    <col min="511" max="511" width="16.125" style="506" customWidth="1"/>
    <col min="512" max="512" width="10.875" style="506" customWidth="1"/>
    <col min="513" max="513" width="12" style="506" customWidth="1"/>
    <col min="514" max="514" width="18.875" style="506" customWidth="1"/>
    <col min="515" max="515" width="10.875" style="506" customWidth="1"/>
    <col min="516" max="516" width="16.25" style="506" bestFit="1" customWidth="1"/>
    <col min="517" max="517" width="12.375" style="506" bestFit="1" customWidth="1"/>
    <col min="518" max="518" width="10.875" style="506" customWidth="1"/>
    <col min="519" max="519" width="10" style="506" customWidth="1"/>
    <col min="520" max="520" width="17.5" style="506" customWidth="1"/>
    <col min="521" max="521" width="10.875" style="506" customWidth="1"/>
    <col min="522" max="522" width="16" style="506" customWidth="1"/>
    <col min="523" max="523" width="12.375" style="506" bestFit="1" customWidth="1"/>
    <col min="524" max="740" width="11" style="506"/>
    <col min="741" max="741" width="32.75" style="506" customWidth="1"/>
    <col min="742" max="742" width="14.5" style="506" customWidth="1"/>
    <col min="743" max="743" width="15.625" style="506" bestFit="1" customWidth="1"/>
    <col min="744" max="744" width="15.5" style="506" customWidth="1"/>
    <col min="745" max="745" width="15.625" style="506" customWidth="1"/>
    <col min="746" max="746" width="15.625" style="506" bestFit="1" customWidth="1"/>
    <col min="747" max="747" width="15.875" style="506" customWidth="1"/>
    <col min="748" max="748" width="14.875" style="506" customWidth="1"/>
    <col min="749" max="749" width="14.5" style="506" customWidth="1"/>
    <col min="750" max="750" width="15.875" style="506" customWidth="1"/>
    <col min="751" max="751" width="12" style="506" bestFit="1" customWidth="1"/>
    <col min="752" max="752" width="18.625" style="506" customWidth="1"/>
    <col min="753" max="753" width="15.125" style="506" customWidth="1"/>
    <col min="754" max="754" width="15.625" style="506" bestFit="1" customWidth="1"/>
    <col min="755" max="755" width="16.375" style="506" customWidth="1"/>
    <col min="756" max="756" width="13.875" style="506" customWidth="1"/>
    <col min="757" max="757" width="18.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75" style="506" customWidth="1"/>
    <col min="762" max="762" width="10.875" style="506" customWidth="1"/>
    <col min="763" max="763" width="10" style="506" customWidth="1"/>
    <col min="764" max="764" width="17.375" style="506" customWidth="1"/>
    <col min="765" max="765" width="10.875" style="506" customWidth="1"/>
    <col min="766" max="766" width="10" style="506" customWidth="1"/>
    <col min="767" max="767" width="16.125" style="506" customWidth="1"/>
    <col min="768" max="768" width="10.875" style="506" customWidth="1"/>
    <col min="769" max="769" width="12" style="506" customWidth="1"/>
    <col min="770" max="770" width="18.875" style="506" customWidth="1"/>
    <col min="771" max="771" width="10.875" style="506" customWidth="1"/>
    <col min="772" max="772" width="16.25" style="506" bestFit="1" customWidth="1"/>
    <col min="773" max="773" width="12.375" style="506" bestFit="1" customWidth="1"/>
    <col min="774" max="774" width="10.875" style="506" customWidth="1"/>
    <col min="775" max="775" width="10" style="506" customWidth="1"/>
    <col min="776" max="776" width="17.5" style="506" customWidth="1"/>
    <col min="777" max="777" width="10.875" style="506" customWidth="1"/>
    <col min="778" max="778" width="16" style="506" customWidth="1"/>
    <col min="779" max="779" width="12.375" style="506" bestFit="1" customWidth="1"/>
    <col min="780" max="996" width="11" style="506"/>
    <col min="997" max="997" width="32.75" style="506" customWidth="1"/>
    <col min="998" max="998" width="14.5" style="506" customWidth="1"/>
    <col min="999" max="999" width="15.625" style="506" bestFit="1" customWidth="1"/>
    <col min="1000" max="1000" width="15.5" style="506" customWidth="1"/>
    <col min="1001" max="1001" width="15.625" style="506" customWidth="1"/>
    <col min="1002" max="1002" width="15.625" style="506" bestFit="1" customWidth="1"/>
    <col min="1003" max="1003" width="15.875" style="506" customWidth="1"/>
    <col min="1004" max="1004" width="14.875" style="506" customWidth="1"/>
    <col min="1005" max="1005" width="14.5" style="506" customWidth="1"/>
    <col min="1006" max="1006" width="15.875" style="506" customWidth="1"/>
    <col min="1007" max="1007" width="12" style="506" bestFit="1" customWidth="1"/>
    <col min="1008" max="1008" width="18.625" style="506" customWidth="1"/>
    <col min="1009" max="1009" width="15.125" style="506" customWidth="1"/>
    <col min="1010" max="1010" width="15.625" style="506" bestFit="1" customWidth="1"/>
    <col min="1011" max="1011" width="16.375" style="506" customWidth="1"/>
    <col min="1012" max="1012" width="13.875" style="506" customWidth="1"/>
    <col min="1013" max="1013" width="18.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75" style="506" customWidth="1"/>
    <col min="1018" max="1018" width="10.875" style="506" customWidth="1"/>
    <col min="1019" max="1019" width="10" style="506" customWidth="1"/>
    <col min="1020" max="1020" width="17.375" style="506" customWidth="1"/>
    <col min="1021" max="1021" width="10.875" style="506" customWidth="1"/>
    <col min="1022" max="1022" width="10" style="506" customWidth="1"/>
    <col min="1023" max="1023" width="16.125" style="506" customWidth="1"/>
    <col min="1024" max="1024" width="10.875" style="506" customWidth="1"/>
    <col min="1025" max="1025" width="12" style="506" customWidth="1"/>
    <col min="1026" max="1026" width="18.875" style="506" customWidth="1"/>
    <col min="1027" max="1027" width="10.875" style="506" customWidth="1"/>
    <col min="1028" max="1028" width="16.25" style="506" bestFit="1" customWidth="1"/>
    <col min="1029" max="1029" width="12.375" style="506" bestFit="1" customWidth="1"/>
    <col min="1030" max="1030" width="10.875" style="506" customWidth="1"/>
    <col min="1031" max="1031" width="10" style="506" customWidth="1"/>
    <col min="1032" max="1032" width="17.5" style="506" customWidth="1"/>
    <col min="1033" max="1033" width="10.875" style="506" customWidth="1"/>
    <col min="1034" max="1034" width="16" style="506" customWidth="1"/>
    <col min="1035" max="1035" width="12.375" style="506" bestFit="1" customWidth="1"/>
    <col min="1036" max="1252" width="11" style="506"/>
    <col min="1253" max="1253" width="32.75" style="506" customWidth="1"/>
    <col min="1254" max="1254" width="14.5" style="506" customWidth="1"/>
    <col min="1255" max="1255" width="15.625" style="506" bestFit="1" customWidth="1"/>
    <col min="1256" max="1256" width="15.5" style="506" customWidth="1"/>
    <col min="1257" max="1257" width="15.625" style="506" customWidth="1"/>
    <col min="1258" max="1258" width="15.625" style="506" bestFit="1" customWidth="1"/>
    <col min="1259" max="1259" width="15.875" style="506" customWidth="1"/>
    <col min="1260" max="1260" width="14.875" style="506" customWidth="1"/>
    <col min="1261" max="1261" width="14.5" style="506" customWidth="1"/>
    <col min="1262" max="1262" width="15.875" style="506" customWidth="1"/>
    <col min="1263" max="1263" width="12" style="506" bestFit="1" customWidth="1"/>
    <col min="1264" max="1264" width="18.625" style="506" customWidth="1"/>
    <col min="1265" max="1265" width="15.125" style="506" customWidth="1"/>
    <col min="1266" max="1266" width="15.625" style="506" bestFit="1" customWidth="1"/>
    <col min="1267" max="1267" width="16.375" style="506" customWidth="1"/>
    <col min="1268" max="1268" width="13.875" style="506" customWidth="1"/>
    <col min="1269" max="1269" width="18.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75" style="506" customWidth="1"/>
    <col min="1274" max="1274" width="10.875" style="506" customWidth="1"/>
    <col min="1275" max="1275" width="10" style="506" customWidth="1"/>
    <col min="1276" max="1276" width="17.375" style="506" customWidth="1"/>
    <col min="1277" max="1277" width="10.875" style="506" customWidth="1"/>
    <col min="1278" max="1278" width="10" style="506" customWidth="1"/>
    <col min="1279" max="1279" width="16.125" style="506" customWidth="1"/>
    <col min="1280" max="1280" width="10.875" style="506" customWidth="1"/>
    <col min="1281" max="1281" width="12" style="506" customWidth="1"/>
    <col min="1282" max="1282" width="18.875" style="506" customWidth="1"/>
    <col min="1283" max="1283" width="10.875" style="506" customWidth="1"/>
    <col min="1284" max="1284" width="16.25" style="506" bestFit="1" customWidth="1"/>
    <col min="1285" max="1285" width="12.375" style="506" bestFit="1" customWidth="1"/>
    <col min="1286" max="1286" width="10.875" style="506" customWidth="1"/>
    <col min="1287" max="1287" width="10" style="506" customWidth="1"/>
    <col min="1288" max="1288" width="17.5" style="506" customWidth="1"/>
    <col min="1289" max="1289" width="10.875" style="506" customWidth="1"/>
    <col min="1290" max="1290" width="16" style="506" customWidth="1"/>
    <col min="1291" max="1291" width="12.375" style="506" bestFit="1" customWidth="1"/>
    <col min="1292" max="1508" width="11" style="506"/>
    <col min="1509" max="1509" width="32.75" style="506" customWidth="1"/>
    <col min="1510" max="1510" width="14.5" style="506" customWidth="1"/>
    <col min="1511" max="1511" width="15.625" style="506" bestFit="1" customWidth="1"/>
    <col min="1512" max="1512" width="15.5" style="506" customWidth="1"/>
    <col min="1513" max="1513" width="15.625" style="506" customWidth="1"/>
    <col min="1514" max="1514" width="15.625" style="506" bestFit="1" customWidth="1"/>
    <col min="1515" max="1515" width="15.875" style="506" customWidth="1"/>
    <col min="1516" max="1516" width="14.875" style="506" customWidth="1"/>
    <col min="1517" max="1517" width="14.5" style="506" customWidth="1"/>
    <col min="1518" max="1518" width="15.875" style="506" customWidth="1"/>
    <col min="1519" max="1519" width="12" style="506" bestFit="1" customWidth="1"/>
    <col min="1520" max="1520" width="18.625" style="506" customWidth="1"/>
    <col min="1521" max="1521" width="15.125" style="506" customWidth="1"/>
    <col min="1522" max="1522" width="15.625" style="506" bestFit="1" customWidth="1"/>
    <col min="1523" max="1523" width="16.375" style="506" customWidth="1"/>
    <col min="1524" max="1524" width="13.875" style="506" customWidth="1"/>
    <col min="1525" max="1525" width="18.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75" style="506" customWidth="1"/>
    <col min="1530" max="1530" width="10.875" style="506" customWidth="1"/>
    <col min="1531" max="1531" width="10" style="506" customWidth="1"/>
    <col min="1532" max="1532" width="17.375" style="506" customWidth="1"/>
    <col min="1533" max="1533" width="10.875" style="506" customWidth="1"/>
    <col min="1534" max="1534" width="10" style="506" customWidth="1"/>
    <col min="1535" max="1535" width="16.125" style="506" customWidth="1"/>
    <col min="1536" max="1536" width="10.875" style="506" customWidth="1"/>
    <col min="1537" max="1537" width="12" style="506" customWidth="1"/>
    <col min="1538" max="1538" width="18.875" style="506" customWidth="1"/>
    <col min="1539" max="1539" width="10.875" style="506" customWidth="1"/>
    <col min="1540" max="1540" width="16.25" style="506" bestFit="1" customWidth="1"/>
    <col min="1541" max="1541" width="12.375" style="506" bestFit="1" customWidth="1"/>
    <col min="1542" max="1542" width="10.875" style="506" customWidth="1"/>
    <col min="1543" max="1543" width="10" style="506" customWidth="1"/>
    <col min="1544" max="1544" width="17.5" style="506" customWidth="1"/>
    <col min="1545" max="1545" width="10.875" style="506" customWidth="1"/>
    <col min="1546" max="1546" width="16" style="506" customWidth="1"/>
    <col min="1547" max="1547" width="12.375" style="506" bestFit="1" customWidth="1"/>
    <col min="1548" max="1764" width="11" style="506"/>
    <col min="1765" max="1765" width="32.75" style="506" customWidth="1"/>
    <col min="1766" max="1766" width="14.5" style="506" customWidth="1"/>
    <col min="1767" max="1767" width="15.625" style="506" bestFit="1" customWidth="1"/>
    <col min="1768" max="1768" width="15.5" style="506" customWidth="1"/>
    <col min="1769" max="1769" width="15.625" style="506" customWidth="1"/>
    <col min="1770" max="1770" width="15.625" style="506" bestFit="1" customWidth="1"/>
    <col min="1771" max="1771" width="15.875" style="506" customWidth="1"/>
    <col min="1772" max="1772" width="14.875" style="506" customWidth="1"/>
    <col min="1773" max="1773" width="14.5" style="506" customWidth="1"/>
    <col min="1774" max="1774" width="15.875" style="506" customWidth="1"/>
    <col min="1775" max="1775" width="12" style="506" bestFit="1" customWidth="1"/>
    <col min="1776" max="1776" width="18.625" style="506" customWidth="1"/>
    <col min="1777" max="1777" width="15.125" style="506" customWidth="1"/>
    <col min="1778" max="1778" width="15.625" style="506" bestFit="1" customWidth="1"/>
    <col min="1779" max="1779" width="16.375" style="506" customWidth="1"/>
    <col min="1780" max="1780" width="13.875" style="506" customWidth="1"/>
    <col min="1781" max="1781" width="18.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75" style="506" customWidth="1"/>
    <col min="1786" max="1786" width="10.875" style="506" customWidth="1"/>
    <col min="1787" max="1787" width="10" style="506" customWidth="1"/>
    <col min="1788" max="1788" width="17.375" style="506" customWidth="1"/>
    <col min="1789" max="1789" width="10.875" style="506" customWidth="1"/>
    <col min="1790" max="1790" width="10" style="506" customWidth="1"/>
    <col min="1791" max="1791" width="16.125" style="506" customWidth="1"/>
    <col min="1792" max="1792" width="10.875" style="506" customWidth="1"/>
    <col min="1793" max="1793" width="12" style="506" customWidth="1"/>
    <col min="1794" max="1794" width="18.875" style="506" customWidth="1"/>
    <col min="1795" max="1795" width="10.875" style="506" customWidth="1"/>
    <col min="1796" max="1796" width="16.25" style="506" bestFit="1" customWidth="1"/>
    <col min="1797" max="1797" width="12.375" style="506" bestFit="1" customWidth="1"/>
    <col min="1798" max="1798" width="10.875" style="506" customWidth="1"/>
    <col min="1799" max="1799" width="10" style="506" customWidth="1"/>
    <col min="1800" max="1800" width="17.5" style="506" customWidth="1"/>
    <col min="1801" max="1801" width="10.875" style="506" customWidth="1"/>
    <col min="1802" max="1802" width="16" style="506" customWidth="1"/>
    <col min="1803" max="1803" width="12.375" style="506" bestFit="1" customWidth="1"/>
    <col min="1804" max="2020" width="11" style="506"/>
    <col min="2021" max="2021" width="32.75" style="506" customWidth="1"/>
    <col min="2022" max="2022" width="14.5" style="506" customWidth="1"/>
    <col min="2023" max="2023" width="15.625" style="506" bestFit="1" customWidth="1"/>
    <col min="2024" max="2024" width="15.5" style="506" customWidth="1"/>
    <col min="2025" max="2025" width="15.625" style="506" customWidth="1"/>
    <col min="2026" max="2026" width="15.625" style="506" bestFit="1" customWidth="1"/>
    <col min="2027" max="2027" width="15.875" style="506" customWidth="1"/>
    <col min="2028" max="2028" width="14.875" style="506" customWidth="1"/>
    <col min="2029" max="2029" width="14.5" style="506" customWidth="1"/>
    <col min="2030" max="2030" width="15.875" style="506" customWidth="1"/>
    <col min="2031" max="2031" width="12" style="506" bestFit="1" customWidth="1"/>
    <col min="2032" max="2032" width="18.625" style="506" customWidth="1"/>
    <col min="2033" max="2033" width="15.125" style="506" customWidth="1"/>
    <col min="2034" max="2034" width="15.625" style="506" bestFit="1" customWidth="1"/>
    <col min="2035" max="2035" width="16.375" style="506" customWidth="1"/>
    <col min="2036" max="2036" width="13.875" style="506" customWidth="1"/>
    <col min="2037" max="2037" width="18.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75" style="506" customWidth="1"/>
    <col min="2042" max="2042" width="10.875" style="506" customWidth="1"/>
    <col min="2043" max="2043" width="10" style="506" customWidth="1"/>
    <col min="2044" max="2044" width="17.375" style="506" customWidth="1"/>
    <col min="2045" max="2045" width="10.875" style="506" customWidth="1"/>
    <col min="2046" max="2046" width="10" style="506" customWidth="1"/>
    <col min="2047" max="2047" width="16.125" style="506" customWidth="1"/>
    <col min="2048" max="2048" width="10.875" style="506" customWidth="1"/>
    <col min="2049" max="2049" width="12" style="506" customWidth="1"/>
    <col min="2050" max="2050" width="18.875" style="506" customWidth="1"/>
    <col min="2051" max="2051" width="10.875" style="506" customWidth="1"/>
    <col min="2052" max="2052" width="16.25" style="506" bestFit="1" customWidth="1"/>
    <col min="2053" max="2053" width="12.375" style="506" bestFit="1" customWidth="1"/>
    <col min="2054" max="2054" width="10.875" style="506" customWidth="1"/>
    <col min="2055" max="2055" width="10" style="506" customWidth="1"/>
    <col min="2056" max="2056" width="17.5" style="506" customWidth="1"/>
    <col min="2057" max="2057" width="10.875" style="506" customWidth="1"/>
    <col min="2058" max="2058" width="16" style="506" customWidth="1"/>
    <col min="2059" max="2059" width="12.375" style="506" bestFit="1" customWidth="1"/>
    <col min="2060" max="2276" width="11" style="506"/>
    <col min="2277" max="2277" width="32.75" style="506" customWidth="1"/>
    <col min="2278" max="2278" width="14.5" style="506" customWidth="1"/>
    <col min="2279" max="2279" width="15.625" style="506" bestFit="1" customWidth="1"/>
    <col min="2280" max="2280" width="15.5" style="506" customWidth="1"/>
    <col min="2281" max="2281" width="15.625" style="506" customWidth="1"/>
    <col min="2282" max="2282" width="15.625" style="506" bestFit="1" customWidth="1"/>
    <col min="2283" max="2283" width="15.875" style="506" customWidth="1"/>
    <col min="2284" max="2284" width="14.875" style="506" customWidth="1"/>
    <col min="2285" max="2285" width="14.5" style="506" customWidth="1"/>
    <col min="2286" max="2286" width="15.875" style="506" customWidth="1"/>
    <col min="2287" max="2287" width="12" style="506" bestFit="1" customWidth="1"/>
    <col min="2288" max="2288" width="18.625" style="506" customWidth="1"/>
    <col min="2289" max="2289" width="15.125" style="506" customWidth="1"/>
    <col min="2290" max="2290" width="15.625" style="506" bestFit="1" customWidth="1"/>
    <col min="2291" max="2291" width="16.375" style="506" customWidth="1"/>
    <col min="2292" max="2292" width="13.875" style="506" customWidth="1"/>
    <col min="2293" max="2293" width="18.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75" style="506" customWidth="1"/>
    <col min="2298" max="2298" width="10.875" style="506" customWidth="1"/>
    <col min="2299" max="2299" width="10" style="506" customWidth="1"/>
    <col min="2300" max="2300" width="17.375" style="506" customWidth="1"/>
    <col min="2301" max="2301" width="10.875" style="506" customWidth="1"/>
    <col min="2302" max="2302" width="10" style="506" customWidth="1"/>
    <col min="2303" max="2303" width="16.125" style="506" customWidth="1"/>
    <col min="2304" max="2304" width="10.875" style="506" customWidth="1"/>
    <col min="2305" max="2305" width="12" style="506" customWidth="1"/>
    <col min="2306" max="2306" width="18.875" style="506" customWidth="1"/>
    <col min="2307" max="2307" width="10.875" style="506" customWidth="1"/>
    <col min="2308" max="2308" width="16.25" style="506" bestFit="1" customWidth="1"/>
    <col min="2309" max="2309" width="12.375" style="506" bestFit="1" customWidth="1"/>
    <col min="2310" max="2310" width="10.875" style="506" customWidth="1"/>
    <col min="2311" max="2311" width="10" style="506" customWidth="1"/>
    <col min="2312" max="2312" width="17.5" style="506" customWidth="1"/>
    <col min="2313" max="2313" width="10.875" style="506" customWidth="1"/>
    <col min="2314" max="2314" width="16" style="506" customWidth="1"/>
    <col min="2315" max="2315" width="12.375" style="506" bestFit="1" customWidth="1"/>
    <col min="2316" max="2532" width="11" style="506"/>
    <col min="2533" max="2533" width="32.75" style="506" customWidth="1"/>
    <col min="2534" max="2534" width="14.5" style="506" customWidth="1"/>
    <col min="2535" max="2535" width="15.625" style="506" bestFit="1" customWidth="1"/>
    <col min="2536" max="2536" width="15.5" style="506" customWidth="1"/>
    <col min="2537" max="2537" width="15.625" style="506" customWidth="1"/>
    <col min="2538" max="2538" width="15.625" style="506" bestFit="1" customWidth="1"/>
    <col min="2539" max="2539" width="15.875" style="506" customWidth="1"/>
    <col min="2540" max="2540" width="14.875" style="506" customWidth="1"/>
    <col min="2541" max="2541" width="14.5" style="506" customWidth="1"/>
    <col min="2542" max="2542" width="15.875" style="506" customWidth="1"/>
    <col min="2543" max="2543" width="12" style="506" bestFit="1" customWidth="1"/>
    <col min="2544" max="2544" width="18.625" style="506" customWidth="1"/>
    <col min="2545" max="2545" width="15.125" style="506" customWidth="1"/>
    <col min="2546" max="2546" width="15.625" style="506" bestFit="1" customWidth="1"/>
    <col min="2547" max="2547" width="16.375" style="506" customWidth="1"/>
    <col min="2548" max="2548" width="13.875" style="506" customWidth="1"/>
    <col min="2549" max="2549" width="18.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75" style="506" customWidth="1"/>
    <col min="2554" max="2554" width="10.875" style="506" customWidth="1"/>
    <col min="2555" max="2555" width="10" style="506" customWidth="1"/>
    <col min="2556" max="2556" width="17.375" style="506" customWidth="1"/>
    <col min="2557" max="2557" width="10.875" style="506" customWidth="1"/>
    <col min="2558" max="2558" width="10" style="506" customWidth="1"/>
    <col min="2559" max="2559" width="16.125" style="506" customWidth="1"/>
    <col min="2560" max="2560" width="10.875" style="506" customWidth="1"/>
    <col min="2561" max="2561" width="12" style="506" customWidth="1"/>
    <col min="2562" max="2562" width="18.875" style="506" customWidth="1"/>
    <col min="2563" max="2563" width="10.875" style="506" customWidth="1"/>
    <col min="2564" max="2564" width="16.25" style="506" bestFit="1" customWidth="1"/>
    <col min="2565" max="2565" width="12.375" style="506" bestFit="1" customWidth="1"/>
    <col min="2566" max="2566" width="10.875" style="506" customWidth="1"/>
    <col min="2567" max="2567" width="10" style="506" customWidth="1"/>
    <col min="2568" max="2568" width="17.5" style="506" customWidth="1"/>
    <col min="2569" max="2569" width="10.875" style="506" customWidth="1"/>
    <col min="2570" max="2570" width="16" style="506" customWidth="1"/>
    <col min="2571" max="2571" width="12.375" style="506" bestFit="1" customWidth="1"/>
    <col min="2572" max="2788" width="11" style="506"/>
    <col min="2789" max="2789" width="32.75" style="506" customWidth="1"/>
    <col min="2790" max="2790" width="14.5" style="506" customWidth="1"/>
    <col min="2791" max="2791" width="15.625" style="506" bestFit="1" customWidth="1"/>
    <col min="2792" max="2792" width="15.5" style="506" customWidth="1"/>
    <col min="2793" max="2793" width="15.625" style="506" customWidth="1"/>
    <col min="2794" max="2794" width="15.625" style="506" bestFit="1" customWidth="1"/>
    <col min="2795" max="2795" width="15.875" style="506" customWidth="1"/>
    <col min="2796" max="2796" width="14.875" style="506" customWidth="1"/>
    <col min="2797" max="2797" width="14.5" style="506" customWidth="1"/>
    <col min="2798" max="2798" width="15.875" style="506" customWidth="1"/>
    <col min="2799" max="2799" width="12" style="506" bestFit="1" customWidth="1"/>
    <col min="2800" max="2800" width="18.625" style="506" customWidth="1"/>
    <col min="2801" max="2801" width="15.125" style="506" customWidth="1"/>
    <col min="2802" max="2802" width="15.625" style="506" bestFit="1" customWidth="1"/>
    <col min="2803" max="2803" width="16.375" style="506" customWidth="1"/>
    <col min="2804" max="2804" width="13.875" style="506" customWidth="1"/>
    <col min="2805" max="2805" width="18.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75" style="506" customWidth="1"/>
    <col min="2810" max="2810" width="10.875" style="506" customWidth="1"/>
    <col min="2811" max="2811" width="10" style="506" customWidth="1"/>
    <col min="2812" max="2812" width="17.375" style="506" customWidth="1"/>
    <col min="2813" max="2813" width="10.875" style="506" customWidth="1"/>
    <col min="2814" max="2814" width="10" style="506" customWidth="1"/>
    <col min="2815" max="2815" width="16.125" style="506" customWidth="1"/>
    <col min="2816" max="2816" width="10.875" style="506" customWidth="1"/>
    <col min="2817" max="2817" width="12" style="506" customWidth="1"/>
    <col min="2818" max="2818" width="18.875" style="506" customWidth="1"/>
    <col min="2819" max="2819" width="10.875" style="506" customWidth="1"/>
    <col min="2820" max="2820" width="16.25" style="506" bestFit="1" customWidth="1"/>
    <col min="2821" max="2821" width="12.375" style="506" bestFit="1" customWidth="1"/>
    <col min="2822" max="2822" width="10.875" style="506" customWidth="1"/>
    <col min="2823" max="2823" width="10" style="506" customWidth="1"/>
    <col min="2824" max="2824" width="17.5" style="506" customWidth="1"/>
    <col min="2825" max="2825" width="10.875" style="506" customWidth="1"/>
    <col min="2826" max="2826" width="16" style="506" customWidth="1"/>
    <col min="2827" max="2827" width="12.375" style="506" bestFit="1" customWidth="1"/>
    <col min="2828" max="3044" width="11" style="506"/>
    <col min="3045" max="3045" width="32.75" style="506" customWidth="1"/>
    <col min="3046" max="3046" width="14.5" style="506" customWidth="1"/>
    <col min="3047" max="3047" width="15.625" style="506" bestFit="1" customWidth="1"/>
    <col min="3048" max="3048" width="15.5" style="506" customWidth="1"/>
    <col min="3049" max="3049" width="15.625" style="506" customWidth="1"/>
    <col min="3050" max="3050" width="15.625" style="506" bestFit="1" customWidth="1"/>
    <col min="3051" max="3051" width="15.875" style="506" customWidth="1"/>
    <col min="3052" max="3052" width="14.875" style="506" customWidth="1"/>
    <col min="3053" max="3053" width="14.5" style="506" customWidth="1"/>
    <col min="3054" max="3054" width="15.875" style="506" customWidth="1"/>
    <col min="3055" max="3055" width="12" style="506" bestFit="1" customWidth="1"/>
    <col min="3056" max="3056" width="18.625" style="506" customWidth="1"/>
    <col min="3057" max="3057" width="15.125" style="506" customWidth="1"/>
    <col min="3058" max="3058" width="15.625" style="506" bestFit="1" customWidth="1"/>
    <col min="3059" max="3059" width="16.375" style="506" customWidth="1"/>
    <col min="3060" max="3060" width="13.875" style="506" customWidth="1"/>
    <col min="3061" max="3061" width="18.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75" style="506" customWidth="1"/>
    <col min="3066" max="3066" width="10.875" style="506" customWidth="1"/>
    <col min="3067" max="3067" width="10" style="506" customWidth="1"/>
    <col min="3068" max="3068" width="17.375" style="506" customWidth="1"/>
    <col min="3069" max="3069" width="10.875" style="506" customWidth="1"/>
    <col min="3070" max="3070" width="10" style="506" customWidth="1"/>
    <col min="3071" max="3071" width="16.125" style="506" customWidth="1"/>
    <col min="3072" max="3072" width="10.875" style="506" customWidth="1"/>
    <col min="3073" max="3073" width="12" style="506" customWidth="1"/>
    <col min="3074" max="3074" width="18.875" style="506" customWidth="1"/>
    <col min="3075" max="3075" width="10.875" style="506" customWidth="1"/>
    <col min="3076" max="3076" width="16.25" style="506" bestFit="1" customWidth="1"/>
    <col min="3077" max="3077" width="12.375" style="506" bestFit="1" customWidth="1"/>
    <col min="3078" max="3078" width="10.875" style="506" customWidth="1"/>
    <col min="3079" max="3079" width="10" style="506" customWidth="1"/>
    <col min="3080" max="3080" width="17.5" style="506" customWidth="1"/>
    <col min="3081" max="3081" width="10.875" style="506" customWidth="1"/>
    <col min="3082" max="3082" width="16" style="506" customWidth="1"/>
    <col min="3083" max="3083" width="12.375" style="506" bestFit="1" customWidth="1"/>
    <col min="3084" max="3300" width="11" style="506"/>
    <col min="3301" max="3301" width="32.75" style="506" customWidth="1"/>
    <col min="3302" max="3302" width="14.5" style="506" customWidth="1"/>
    <col min="3303" max="3303" width="15.625" style="506" bestFit="1" customWidth="1"/>
    <col min="3304" max="3304" width="15.5" style="506" customWidth="1"/>
    <col min="3305" max="3305" width="15.625" style="506" customWidth="1"/>
    <col min="3306" max="3306" width="15.625" style="506" bestFit="1" customWidth="1"/>
    <col min="3307" max="3307" width="15.875" style="506" customWidth="1"/>
    <col min="3308" max="3308" width="14.875" style="506" customWidth="1"/>
    <col min="3309" max="3309" width="14.5" style="506" customWidth="1"/>
    <col min="3310" max="3310" width="15.875" style="506" customWidth="1"/>
    <col min="3311" max="3311" width="12" style="506" bestFit="1" customWidth="1"/>
    <col min="3312" max="3312" width="18.625" style="506" customWidth="1"/>
    <col min="3313" max="3313" width="15.125" style="506" customWidth="1"/>
    <col min="3314" max="3314" width="15.625" style="506" bestFit="1" customWidth="1"/>
    <col min="3315" max="3315" width="16.375" style="506" customWidth="1"/>
    <col min="3316" max="3316" width="13.875" style="506" customWidth="1"/>
    <col min="3317" max="3317" width="18.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75" style="506" customWidth="1"/>
    <col min="3322" max="3322" width="10.875" style="506" customWidth="1"/>
    <col min="3323" max="3323" width="10" style="506" customWidth="1"/>
    <col min="3324" max="3324" width="17.375" style="506" customWidth="1"/>
    <col min="3325" max="3325" width="10.875" style="506" customWidth="1"/>
    <col min="3326" max="3326" width="10" style="506" customWidth="1"/>
    <col min="3327" max="3327" width="16.125" style="506" customWidth="1"/>
    <col min="3328" max="3328" width="10.875" style="506" customWidth="1"/>
    <col min="3329" max="3329" width="12" style="506" customWidth="1"/>
    <col min="3330" max="3330" width="18.875" style="506" customWidth="1"/>
    <col min="3331" max="3331" width="10.875" style="506" customWidth="1"/>
    <col min="3332" max="3332" width="16.25" style="506" bestFit="1" customWidth="1"/>
    <col min="3333" max="3333" width="12.375" style="506" bestFit="1" customWidth="1"/>
    <col min="3334" max="3334" width="10.875" style="506" customWidth="1"/>
    <col min="3335" max="3335" width="10" style="506" customWidth="1"/>
    <col min="3336" max="3336" width="17.5" style="506" customWidth="1"/>
    <col min="3337" max="3337" width="10.875" style="506" customWidth="1"/>
    <col min="3338" max="3338" width="16" style="506" customWidth="1"/>
    <col min="3339" max="3339" width="12.375" style="506" bestFit="1" customWidth="1"/>
    <col min="3340" max="3556" width="11" style="506"/>
    <col min="3557" max="3557" width="32.75" style="506" customWidth="1"/>
    <col min="3558" max="3558" width="14.5" style="506" customWidth="1"/>
    <col min="3559" max="3559" width="15.625" style="506" bestFit="1" customWidth="1"/>
    <col min="3560" max="3560" width="15.5" style="506" customWidth="1"/>
    <col min="3561" max="3561" width="15.625" style="506" customWidth="1"/>
    <col min="3562" max="3562" width="15.625" style="506" bestFit="1" customWidth="1"/>
    <col min="3563" max="3563" width="15.875" style="506" customWidth="1"/>
    <col min="3564" max="3564" width="14.875" style="506" customWidth="1"/>
    <col min="3565" max="3565" width="14.5" style="506" customWidth="1"/>
    <col min="3566" max="3566" width="15.875" style="506" customWidth="1"/>
    <col min="3567" max="3567" width="12" style="506" bestFit="1" customWidth="1"/>
    <col min="3568" max="3568" width="18.625" style="506" customWidth="1"/>
    <col min="3569" max="3569" width="15.125" style="506" customWidth="1"/>
    <col min="3570" max="3570" width="15.625" style="506" bestFit="1" customWidth="1"/>
    <col min="3571" max="3571" width="16.375" style="506" customWidth="1"/>
    <col min="3572" max="3572" width="13.875" style="506" customWidth="1"/>
    <col min="3573" max="3573" width="18.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75" style="506" customWidth="1"/>
    <col min="3578" max="3578" width="10.875" style="506" customWidth="1"/>
    <col min="3579" max="3579" width="10" style="506" customWidth="1"/>
    <col min="3580" max="3580" width="17.375" style="506" customWidth="1"/>
    <col min="3581" max="3581" width="10.875" style="506" customWidth="1"/>
    <col min="3582" max="3582" width="10" style="506" customWidth="1"/>
    <col min="3583" max="3583" width="16.125" style="506" customWidth="1"/>
    <col min="3584" max="3584" width="10.875" style="506" customWidth="1"/>
    <col min="3585" max="3585" width="12" style="506" customWidth="1"/>
    <col min="3586" max="3586" width="18.875" style="506" customWidth="1"/>
    <col min="3587" max="3587" width="10.875" style="506" customWidth="1"/>
    <col min="3588" max="3588" width="16.25" style="506" bestFit="1" customWidth="1"/>
    <col min="3589" max="3589" width="12.375" style="506" bestFit="1" customWidth="1"/>
    <col min="3590" max="3590" width="10.875" style="506" customWidth="1"/>
    <col min="3591" max="3591" width="10" style="506" customWidth="1"/>
    <col min="3592" max="3592" width="17.5" style="506" customWidth="1"/>
    <col min="3593" max="3593" width="10.875" style="506" customWidth="1"/>
    <col min="3594" max="3594" width="16" style="506" customWidth="1"/>
    <col min="3595" max="3595" width="12.375" style="506" bestFit="1" customWidth="1"/>
    <col min="3596" max="3812" width="11" style="506"/>
    <col min="3813" max="3813" width="32.75" style="506" customWidth="1"/>
    <col min="3814" max="3814" width="14.5" style="506" customWidth="1"/>
    <col min="3815" max="3815" width="15.625" style="506" bestFit="1" customWidth="1"/>
    <col min="3816" max="3816" width="15.5" style="506" customWidth="1"/>
    <col min="3817" max="3817" width="15.625" style="506" customWidth="1"/>
    <col min="3818" max="3818" width="15.625" style="506" bestFit="1" customWidth="1"/>
    <col min="3819" max="3819" width="15.875" style="506" customWidth="1"/>
    <col min="3820" max="3820" width="14.875" style="506" customWidth="1"/>
    <col min="3821" max="3821" width="14.5" style="506" customWidth="1"/>
    <col min="3822" max="3822" width="15.875" style="506" customWidth="1"/>
    <col min="3823" max="3823" width="12" style="506" bestFit="1" customWidth="1"/>
    <col min="3824" max="3824" width="18.625" style="506" customWidth="1"/>
    <col min="3825" max="3825" width="15.125" style="506" customWidth="1"/>
    <col min="3826" max="3826" width="15.625" style="506" bestFit="1" customWidth="1"/>
    <col min="3827" max="3827" width="16.375" style="506" customWidth="1"/>
    <col min="3828" max="3828" width="13.875" style="506" customWidth="1"/>
    <col min="3829" max="3829" width="18.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75" style="506" customWidth="1"/>
    <col min="3834" max="3834" width="10.875" style="506" customWidth="1"/>
    <col min="3835" max="3835" width="10" style="506" customWidth="1"/>
    <col min="3836" max="3836" width="17.375" style="506" customWidth="1"/>
    <col min="3837" max="3837" width="10.875" style="506" customWidth="1"/>
    <col min="3838" max="3838" width="10" style="506" customWidth="1"/>
    <col min="3839" max="3839" width="16.125" style="506" customWidth="1"/>
    <col min="3840" max="3840" width="10.875" style="506" customWidth="1"/>
    <col min="3841" max="3841" width="12" style="506" customWidth="1"/>
    <col min="3842" max="3842" width="18.875" style="506" customWidth="1"/>
    <col min="3843" max="3843" width="10.875" style="506" customWidth="1"/>
    <col min="3844" max="3844" width="16.25" style="506" bestFit="1" customWidth="1"/>
    <col min="3845" max="3845" width="12.375" style="506" bestFit="1" customWidth="1"/>
    <col min="3846" max="3846" width="10.875" style="506" customWidth="1"/>
    <col min="3847" max="3847" width="10" style="506" customWidth="1"/>
    <col min="3848" max="3848" width="17.5" style="506" customWidth="1"/>
    <col min="3849" max="3849" width="10.875" style="506" customWidth="1"/>
    <col min="3850" max="3850" width="16" style="506" customWidth="1"/>
    <col min="3851" max="3851" width="12.375" style="506" bestFit="1" customWidth="1"/>
    <col min="3852" max="4068" width="11" style="506"/>
    <col min="4069" max="4069" width="32.75" style="506" customWidth="1"/>
    <col min="4070" max="4070" width="14.5" style="506" customWidth="1"/>
    <col min="4071" max="4071" width="15.625" style="506" bestFit="1" customWidth="1"/>
    <col min="4072" max="4072" width="15.5" style="506" customWidth="1"/>
    <col min="4073" max="4073" width="15.625" style="506" customWidth="1"/>
    <col min="4074" max="4074" width="15.625" style="506" bestFit="1" customWidth="1"/>
    <col min="4075" max="4075" width="15.875" style="506" customWidth="1"/>
    <col min="4076" max="4076" width="14.875" style="506" customWidth="1"/>
    <col min="4077" max="4077" width="14.5" style="506" customWidth="1"/>
    <col min="4078" max="4078" width="15.875" style="506" customWidth="1"/>
    <col min="4079" max="4079" width="12" style="506" bestFit="1" customWidth="1"/>
    <col min="4080" max="4080" width="18.625" style="506" customWidth="1"/>
    <col min="4081" max="4081" width="15.125" style="506" customWidth="1"/>
    <col min="4082" max="4082" width="15.625" style="506" bestFit="1" customWidth="1"/>
    <col min="4083" max="4083" width="16.375" style="506" customWidth="1"/>
    <col min="4084" max="4084" width="13.875" style="506" customWidth="1"/>
    <col min="4085" max="4085" width="18.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75" style="506" customWidth="1"/>
    <col min="4090" max="4090" width="10.875" style="506" customWidth="1"/>
    <col min="4091" max="4091" width="10" style="506" customWidth="1"/>
    <col min="4092" max="4092" width="17.375" style="506" customWidth="1"/>
    <col min="4093" max="4093" width="10.875" style="506" customWidth="1"/>
    <col min="4094" max="4094" width="10" style="506" customWidth="1"/>
    <col min="4095" max="4095" width="16.125" style="506" customWidth="1"/>
    <col min="4096" max="4096" width="10.875" style="506" customWidth="1"/>
    <col min="4097" max="4097" width="12" style="506" customWidth="1"/>
    <col min="4098" max="4098" width="18.875" style="506" customWidth="1"/>
    <col min="4099" max="4099" width="10.875" style="506" customWidth="1"/>
    <col min="4100" max="4100" width="16.25" style="506" bestFit="1" customWidth="1"/>
    <col min="4101" max="4101" width="12.375" style="506" bestFit="1" customWidth="1"/>
    <col min="4102" max="4102" width="10.875" style="506" customWidth="1"/>
    <col min="4103" max="4103" width="10" style="506" customWidth="1"/>
    <col min="4104" max="4104" width="17.5" style="506" customWidth="1"/>
    <col min="4105" max="4105" width="10.875" style="506" customWidth="1"/>
    <col min="4106" max="4106" width="16" style="506" customWidth="1"/>
    <col min="4107" max="4107" width="12.375" style="506" bestFit="1" customWidth="1"/>
    <col min="4108" max="4324" width="11" style="506"/>
    <col min="4325" max="4325" width="32.75" style="506" customWidth="1"/>
    <col min="4326" max="4326" width="14.5" style="506" customWidth="1"/>
    <col min="4327" max="4327" width="15.625" style="506" bestFit="1" customWidth="1"/>
    <col min="4328" max="4328" width="15.5" style="506" customWidth="1"/>
    <col min="4329" max="4329" width="15.625" style="506" customWidth="1"/>
    <col min="4330" max="4330" width="15.625" style="506" bestFit="1" customWidth="1"/>
    <col min="4331" max="4331" width="15.875" style="506" customWidth="1"/>
    <col min="4332" max="4332" width="14.875" style="506" customWidth="1"/>
    <col min="4333" max="4333" width="14.5" style="506" customWidth="1"/>
    <col min="4334" max="4334" width="15.875" style="506" customWidth="1"/>
    <col min="4335" max="4335" width="12" style="506" bestFit="1" customWidth="1"/>
    <col min="4336" max="4336" width="18.625" style="506" customWidth="1"/>
    <col min="4337" max="4337" width="15.125" style="506" customWidth="1"/>
    <col min="4338" max="4338" width="15.625" style="506" bestFit="1" customWidth="1"/>
    <col min="4339" max="4339" width="16.375" style="506" customWidth="1"/>
    <col min="4340" max="4340" width="13.875" style="506" customWidth="1"/>
    <col min="4341" max="4341" width="18.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75" style="506" customWidth="1"/>
    <col min="4346" max="4346" width="10.875" style="506" customWidth="1"/>
    <col min="4347" max="4347" width="10" style="506" customWidth="1"/>
    <col min="4348" max="4348" width="17.375" style="506" customWidth="1"/>
    <col min="4349" max="4349" width="10.875" style="506" customWidth="1"/>
    <col min="4350" max="4350" width="10" style="506" customWidth="1"/>
    <col min="4351" max="4351" width="16.125" style="506" customWidth="1"/>
    <col min="4352" max="4352" width="10.875" style="506" customWidth="1"/>
    <col min="4353" max="4353" width="12" style="506" customWidth="1"/>
    <col min="4354" max="4354" width="18.875" style="506" customWidth="1"/>
    <col min="4355" max="4355" width="10.875" style="506" customWidth="1"/>
    <col min="4356" max="4356" width="16.25" style="506" bestFit="1" customWidth="1"/>
    <col min="4357" max="4357" width="12.375" style="506" bestFit="1" customWidth="1"/>
    <col min="4358" max="4358" width="10.875" style="506" customWidth="1"/>
    <col min="4359" max="4359" width="10" style="506" customWidth="1"/>
    <col min="4360" max="4360" width="17.5" style="506" customWidth="1"/>
    <col min="4361" max="4361" width="10.875" style="506" customWidth="1"/>
    <col min="4362" max="4362" width="16" style="506" customWidth="1"/>
    <col min="4363" max="4363" width="12.375" style="506" bestFit="1" customWidth="1"/>
    <col min="4364" max="4580" width="11" style="506"/>
    <col min="4581" max="4581" width="32.75" style="506" customWidth="1"/>
    <col min="4582" max="4582" width="14.5" style="506" customWidth="1"/>
    <col min="4583" max="4583" width="15.625" style="506" bestFit="1" customWidth="1"/>
    <col min="4584" max="4584" width="15.5" style="506" customWidth="1"/>
    <col min="4585" max="4585" width="15.625" style="506" customWidth="1"/>
    <col min="4586" max="4586" width="15.625" style="506" bestFit="1" customWidth="1"/>
    <col min="4587" max="4587" width="15.875" style="506" customWidth="1"/>
    <col min="4588" max="4588" width="14.875" style="506" customWidth="1"/>
    <col min="4589" max="4589" width="14.5" style="506" customWidth="1"/>
    <col min="4590" max="4590" width="15.875" style="506" customWidth="1"/>
    <col min="4591" max="4591" width="12" style="506" bestFit="1" customWidth="1"/>
    <col min="4592" max="4592" width="18.625" style="506" customWidth="1"/>
    <col min="4593" max="4593" width="15.125" style="506" customWidth="1"/>
    <col min="4594" max="4594" width="15.625" style="506" bestFit="1" customWidth="1"/>
    <col min="4595" max="4595" width="16.375" style="506" customWidth="1"/>
    <col min="4596" max="4596" width="13.875" style="506" customWidth="1"/>
    <col min="4597" max="4597" width="18.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75" style="506" customWidth="1"/>
    <col min="4602" max="4602" width="10.875" style="506" customWidth="1"/>
    <col min="4603" max="4603" width="10" style="506" customWidth="1"/>
    <col min="4604" max="4604" width="17.375" style="506" customWidth="1"/>
    <col min="4605" max="4605" width="10.875" style="506" customWidth="1"/>
    <col min="4606" max="4606" width="10" style="506" customWidth="1"/>
    <col min="4607" max="4607" width="16.125" style="506" customWidth="1"/>
    <col min="4608" max="4608" width="10.875" style="506" customWidth="1"/>
    <col min="4609" max="4609" width="12" style="506" customWidth="1"/>
    <col min="4610" max="4610" width="18.875" style="506" customWidth="1"/>
    <col min="4611" max="4611" width="10.875" style="506" customWidth="1"/>
    <col min="4612" max="4612" width="16.25" style="506" bestFit="1" customWidth="1"/>
    <col min="4613" max="4613" width="12.375" style="506" bestFit="1" customWidth="1"/>
    <col min="4614" max="4614" width="10.875" style="506" customWidth="1"/>
    <col min="4615" max="4615" width="10" style="506" customWidth="1"/>
    <col min="4616" max="4616" width="17.5" style="506" customWidth="1"/>
    <col min="4617" max="4617" width="10.875" style="506" customWidth="1"/>
    <col min="4618" max="4618" width="16" style="506" customWidth="1"/>
    <col min="4619" max="4619" width="12.375" style="506" bestFit="1" customWidth="1"/>
    <col min="4620" max="4836" width="11" style="506"/>
    <col min="4837" max="4837" width="32.75" style="506" customWidth="1"/>
    <col min="4838" max="4838" width="14.5" style="506" customWidth="1"/>
    <col min="4839" max="4839" width="15.625" style="506" bestFit="1" customWidth="1"/>
    <col min="4840" max="4840" width="15.5" style="506" customWidth="1"/>
    <col min="4841" max="4841" width="15.625" style="506" customWidth="1"/>
    <col min="4842" max="4842" width="15.625" style="506" bestFit="1" customWidth="1"/>
    <col min="4843" max="4843" width="15.875" style="506" customWidth="1"/>
    <col min="4844" max="4844" width="14.875" style="506" customWidth="1"/>
    <col min="4845" max="4845" width="14.5" style="506" customWidth="1"/>
    <col min="4846" max="4846" width="15.875" style="506" customWidth="1"/>
    <col min="4847" max="4847" width="12" style="506" bestFit="1" customWidth="1"/>
    <col min="4848" max="4848" width="18.625" style="506" customWidth="1"/>
    <col min="4849" max="4849" width="15.125" style="506" customWidth="1"/>
    <col min="4850" max="4850" width="15.625" style="506" bestFit="1" customWidth="1"/>
    <col min="4851" max="4851" width="16.375" style="506" customWidth="1"/>
    <col min="4852" max="4852" width="13.875" style="506" customWidth="1"/>
    <col min="4853" max="4853" width="18.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75" style="506" customWidth="1"/>
    <col min="4858" max="4858" width="10.875" style="506" customWidth="1"/>
    <col min="4859" max="4859" width="10" style="506" customWidth="1"/>
    <col min="4860" max="4860" width="17.375" style="506" customWidth="1"/>
    <col min="4861" max="4861" width="10.875" style="506" customWidth="1"/>
    <col min="4862" max="4862" width="10" style="506" customWidth="1"/>
    <col min="4863" max="4863" width="16.125" style="506" customWidth="1"/>
    <col min="4864" max="4864" width="10.875" style="506" customWidth="1"/>
    <col min="4865" max="4865" width="12" style="506" customWidth="1"/>
    <col min="4866" max="4866" width="18.875" style="506" customWidth="1"/>
    <col min="4867" max="4867" width="10.875" style="506" customWidth="1"/>
    <col min="4868" max="4868" width="16.25" style="506" bestFit="1" customWidth="1"/>
    <col min="4869" max="4869" width="12.375" style="506" bestFit="1" customWidth="1"/>
    <col min="4870" max="4870" width="10.875" style="506" customWidth="1"/>
    <col min="4871" max="4871" width="10" style="506" customWidth="1"/>
    <col min="4872" max="4872" width="17.5" style="506" customWidth="1"/>
    <col min="4873" max="4873" width="10.875" style="506" customWidth="1"/>
    <col min="4874" max="4874" width="16" style="506" customWidth="1"/>
    <col min="4875" max="4875" width="12.375" style="506" bestFit="1" customWidth="1"/>
    <col min="4876" max="5092" width="11" style="506"/>
    <col min="5093" max="5093" width="32.75" style="506" customWidth="1"/>
    <col min="5094" max="5094" width="14.5" style="506" customWidth="1"/>
    <col min="5095" max="5095" width="15.625" style="506" bestFit="1" customWidth="1"/>
    <col min="5096" max="5096" width="15.5" style="506" customWidth="1"/>
    <col min="5097" max="5097" width="15.625" style="506" customWidth="1"/>
    <col min="5098" max="5098" width="15.625" style="506" bestFit="1" customWidth="1"/>
    <col min="5099" max="5099" width="15.875" style="506" customWidth="1"/>
    <col min="5100" max="5100" width="14.875" style="506" customWidth="1"/>
    <col min="5101" max="5101" width="14.5" style="506" customWidth="1"/>
    <col min="5102" max="5102" width="15.875" style="506" customWidth="1"/>
    <col min="5103" max="5103" width="12" style="506" bestFit="1" customWidth="1"/>
    <col min="5104" max="5104" width="18.625" style="506" customWidth="1"/>
    <col min="5105" max="5105" width="15.125" style="506" customWidth="1"/>
    <col min="5106" max="5106" width="15.625" style="506" bestFit="1" customWidth="1"/>
    <col min="5107" max="5107" width="16.375" style="506" customWidth="1"/>
    <col min="5108" max="5108" width="13.875" style="506" customWidth="1"/>
    <col min="5109" max="5109" width="18.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75" style="506" customWidth="1"/>
    <col min="5114" max="5114" width="10.875" style="506" customWidth="1"/>
    <col min="5115" max="5115" width="10" style="506" customWidth="1"/>
    <col min="5116" max="5116" width="17.375" style="506" customWidth="1"/>
    <col min="5117" max="5117" width="10.875" style="506" customWidth="1"/>
    <col min="5118" max="5118" width="10" style="506" customWidth="1"/>
    <col min="5119" max="5119" width="16.125" style="506" customWidth="1"/>
    <col min="5120" max="5120" width="10.875" style="506" customWidth="1"/>
    <col min="5121" max="5121" width="12" style="506" customWidth="1"/>
    <col min="5122" max="5122" width="18.875" style="506" customWidth="1"/>
    <col min="5123" max="5123" width="10.875" style="506" customWidth="1"/>
    <col min="5124" max="5124" width="16.25" style="506" bestFit="1" customWidth="1"/>
    <col min="5125" max="5125" width="12.375" style="506" bestFit="1" customWidth="1"/>
    <col min="5126" max="5126" width="10.875" style="506" customWidth="1"/>
    <col min="5127" max="5127" width="10" style="506" customWidth="1"/>
    <col min="5128" max="5128" width="17.5" style="506" customWidth="1"/>
    <col min="5129" max="5129" width="10.875" style="506" customWidth="1"/>
    <col min="5130" max="5130" width="16" style="506" customWidth="1"/>
    <col min="5131" max="5131" width="12.375" style="506" bestFit="1" customWidth="1"/>
    <col min="5132" max="5348" width="11" style="506"/>
    <col min="5349" max="5349" width="32.75" style="506" customWidth="1"/>
    <col min="5350" max="5350" width="14.5" style="506" customWidth="1"/>
    <col min="5351" max="5351" width="15.625" style="506" bestFit="1" customWidth="1"/>
    <col min="5352" max="5352" width="15.5" style="506" customWidth="1"/>
    <col min="5353" max="5353" width="15.625" style="506" customWidth="1"/>
    <col min="5354" max="5354" width="15.625" style="506" bestFit="1" customWidth="1"/>
    <col min="5355" max="5355" width="15.875" style="506" customWidth="1"/>
    <col min="5356" max="5356" width="14.875" style="506" customWidth="1"/>
    <col min="5357" max="5357" width="14.5" style="506" customWidth="1"/>
    <col min="5358" max="5358" width="15.875" style="506" customWidth="1"/>
    <col min="5359" max="5359" width="12" style="506" bestFit="1" customWidth="1"/>
    <col min="5360" max="5360" width="18.625" style="506" customWidth="1"/>
    <col min="5361" max="5361" width="15.125" style="506" customWidth="1"/>
    <col min="5362" max="5362" width="15.625" style="506" bestFit="1" customWidth="1"/>
    <col min="5363" max="5363" width="16.375" style="506" customWidth="1"/>
    <col min="5364" max="5364" width="13.875" style="506" customWidth="1"/>
    <col min="5365" max="5365" width="18.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75" style="506" customWidth="1"/>
    <col min="5370" max="5370" width="10.875" style="506" customWidth="1"/>
    <col min="5371" max="5371" width="10" style="506" customWidth="1"/>
    <col min="5372" max="5372" width="17.375" style="506" customWidth="1"/>
    <col min="5373" max="5373" width="10.875" style="506" customWidth="1"/>
    <col min="5374" max="5374" width="10" style="506" customWidth="1"/>
    <col min="5375" max="5375" width="16.125" style="506" customWidth="1"/>
    <col min="5376" max="5376" width="10.875" style="506" customWidth="1"/>
    <col min="5377" max="5377" width="12" style="506" customWidth="1"/>
    <col min="5378" max="5378" width="18.875" style="506" customWidth="1"/>
    <col min="5379" max="5379" width="10.875" style="506" customWidth="1"/>
    <col min="5380" max="5380" width="16.25" style="506" bestFit="1" customWidth="1"/>
    <col min="5381" max="5381" width="12.375" style="506" bestFit="1" customWidth="1"/>
    <col min="5382" max="5382" width="10.875" style="506" customWidth="1"/>
    <col min="5383" max="5383" width="10" style="506" customWidth="1"/>
    <col min="5384" max="5384" width="17.5" style="506" customWidth="1"/>
    <col min="5385" max="5385" width="10.875" style="506" customWidth="1"/>
    <col min="5386" max="5386" width="16" style="506" customWidth="1"/>
    <col min="5387" max="5387" width="12.375" style="506" bestFit="1" customWidth="1"/>
    <col min="5388" max="5604" width="11" style="506"/>
    <col min="5605" max="5605" width="32.75" style="506" customWidth="1"/>
    <col min="5606" max="5606" width="14.5" style="506" customWidth="1"/>
    <col min="5607" max="5607" width="15.625" style="506" bestFit="1" customWidth="1"/>
    <col min="5608" max="5608" width="15.5" style="506" customWidth="1"/>
    <col min="5609" max="5609" width="15.625" style="506" customWidth="1"/>
    <col min="5610" max="5610" width="15.625" style="506" bestFit="1" customWidth="1"/>
    <col min="5611" max="5611" width="15.875" style="506" customWidth="1"/>
    <col min="5612" max="5612" width="14.875" style="506" customWidth="1"/>
    <col min="5613" max="5613" width="14.5" style="506" customWidth="1"/>
    <col min="5614" max="5614" width="15.875" style="506" customWidth="1"/>
    <col min="5615" max="5615" width="12" style="506" bestFit="1" customWidth="1"/>
    <col min="5616" max="5616" width="18.625" style="506" customWidth="1"/>
    <col min="5617" max="5617" width="15.125" style="506" customWidth="1"/>
    <col min="5618" max="5618" width="15.625" style="506" bestFit="1" customWidth="1"/>
    <col min="5619" max="5619" width="16.375" style="506" customWidth="1"/>
    <col min="5620" max="5620" width="13.875" style="506" customWidth="1"/>
    <col min="5621" max="5621" width="18.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75" style="506" customWidth="1"/>
    <col min="5626" max="5626" width="10.875" style="506" customWidth="1"/>
    <col min="5627" max="5627" width="10" style="506" customWidth="1"/>
    <col min="5628" max="5628" width="17.375" style="506" customWidth="1"/>
    <col min="5629" max="5629" width="10.875" style="506" customWidth="1"/>
    <col min="5630" max="5630" width="10" style="506" customWidth="1"/>
    <col min="5631" max="5631" width="16.125" style="506" customWidth="1"/>
    <col min="5632" max="5632" width="10.875" style="506" customWidth="1"/>
    <col min="5633" max="5633" width="12" style="506" customWidth="1"/>
    <col min="5634" max="5634" width="18.875" style="506" customWidth="1"/>
    <col min="5635" max="5635" width="10.875" style="506" customWidth="1"/>
    <col min="5636" max="5636" width="16.25" style="506" bestFit="1" customWidth="1"/>
    <col min="5637" max="5637" width="12.375" style="506" bestFit="1" customWidth="1"/>
    <col min="5638" max="5638" width="10.875" style="506" customWidth="1"/>
    <col min="5639" max="5639" width="10" style="506" customWidth="1"/>
    <col min="5640" max="5640" width="17.5" style="506" customWidth="1"/>
    <col min="5641" max="5641" width="10.875" style="506" customWidth="1"/>
    <col min="5642" max="5642" width="16" style="506" customWidth="1"/>
    <col min="5643" max="5643" width="12.375" style="506" bestFit="1" customWidth="1"/>
    <col min="5644" max="5860" width="11" style="506"/>
    <col min="5861" max="5861" width="32.75" style="506" customWidth="1"/>
    <col min="5862" max="5862" width="14.5" style="506" customWidth="1"/>
    <col min="5863" max="5863" width="15.625" style="506" bestFit="1" customWidth="1"/>
    <col min="5864" max="5864" width="15.5" style="506" customWidth="1"/>
    <col min="5865" max="5865" width="15.625" style="506" customWidth="1"/>
    <col min="5866" max="5866" width="15.625" style="506" bestFit="1" customWidth="1"/>
    <col min="5867" max="5867" width="15.875" style="506" customWidth="1"/>
    <col min="5868" max="5868" width="14.875" style="506" customWidth="1"/>
    <col min="5869" max="5869" width="14.5" style="506" customWidth="1"/>
    <col min="5870" max="5870" width="15.875" style="506" customWidth="1"/>
    <col min="5871" max="5871" width="12" style="506" bestFit="1" customWidth="1"/>
    <col min="5872" max="5872" width="18.625" style="506" customWidth="1"/>
    <col min="5873" max="5873" width="15.125" style="506" customWidth="1"/>
    <col min="5874" max="5874" width="15.625" style="506" bestFit="1" customWidth="1"/>
    <col min="5875" max="5875" width="16.375" style="506" customWidth="1"/>
    <col min="5876" max="5876" width="13.875" style="506" customWidth="1"/>
    <col min="5877" max="5877" width="18.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75" style="506" customWidth="1"/>
    <col min="5882" max="5882" width="10.875" style="506" customWidth="1"/>
    <col min="5883" max="5883" width="10" style="506" customWidth="1"/>
    <col min="5884" max="5884" width="17.375" style="506" customWidth="1"/>
    <col min="5885" max="5885" width="10.875" style="506" customWidth="1"/>
    <col min="5886" max="5886" width="10" style="506" customWidth="1"/>
    <col min="5887" max="5887" width="16.125" style="506" customWidth="1"/>
    <col min="5888" max="5888" width="10.875" style="506" customWidth="1"/>
    <col min="5889" max="5889" width="12" style="506" customWidth="1"/>
    <col min="5890" max="5890" width="18.875" style="506" customWidth="1"/>
    <col min="5891" max="5891" width="10.875" style="506" customWidth="1"/>
    <col min="5892" max="5892" width="16.25" style="506" bestFit="1" customWidth="1"/>
    <col min="5893" max="5893" width="12.375" style="506" bestFit="1" customWidth="1"/>
    <col min="5894" max="5894" width="10.875" style="506" customWidth="1"/>
    <col min="5895" max="5895" width="10" style="506" customWidth="1"/>
    <col min="5896" max="5896" width="17.5" style="506" customWidth="1"/>
    <col min="5897" max="5897" width="10.875" style="506" customWidth="1"/>
    <col min="5898" max="5898" width="16" style="506" customWidth="1"/>
    <col min="5899" max="5899" width="12.375" style="506" bestFit="1" customWidth="1"/>
    <col min="5900" max="6116" width="11" style="506"/>
    <col min="6117" max="6117" width="32.75" style="506" customWidth="1"/>
    <col min="6118" max="6118" width="14.5" style="506" customWidth="1"/>
    <col min="6119" max="6119" width="15.625" style="506" bestFit="1" customWidth="1"/>
    <col min="6120" max="6120" width="15.5" style="506" customWidth="1"/>
    <col min="6121" max="6121" width="15.625" style="506" customWidth="1"/>
    <col min="6122" max="6122" width="15.625" style="506" bestFit="1" customWidth="1"/>
    <col min="6123" max="6123" width="15.875" style="506" customWidth="1"/>
    <col min="6124" max="6124" width="14.875" style="506" customWidth="1"/>
    <col min="6125" max="6125" width="14.5" style="506" customWidth="1"/>
    <col min="6126" max="6126" width="15.875" style="506" customWidth="1"/>
    <col min="6127" max="6127" width="12" style="506" bestFit="1" customWidth="1"/>
    <col min="6128" max="6128" width="18.625" style="506" customWidth="1"/>
    <col min="6129" max="6129" width="15.125" style="506" customWidth="1"/>
    <col min="6130" max="6130" width="15.625" style="506" bestFit="1" customWidth="1"/>
    <col min="6131" max="6131" width="16.375" style="506" customWidth="1"/>
    <col min="6132" max="6132" width="13.875" style="506" customWidth="1"/>
    <col min="6133" max="6133" width="18.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75" style="506" customWidth="1"/>
    <col min="6138" max="6138" width="10.875" style="506" customWidth="1"/>
    <col min="6139" max="6139" width="10" style="506" customWidth="1"/>
    <col min="6140" max="6140" width="17.375" style="506" customWidth="1"/>
    <col min="6141" max="6141" width="10.875" style="506" customWidth="1"/>
    <col min="6142" max="6142" width="10" style="506" customWidth="1"/>
    <col min="6143" max="6143" width="16.125" style="506" customWidth="1"/>
    <col min="6144" max="6144" width="10.875" style="506" customWidth="1"/>
    <col min="6145" max="6145" width="12" style="506" customWidth="1"/>
    <col min="6146" max="6146" width="18.875" style="506" customWidth="1"/>
    <col min="6147" max="6147" width="10.875" style="506" customWidth="1"/>
    <col min="6148" max="6148" width="16.25" style="506" bestFit="1" customWidth="1"/>
    <col min="6149" max="6149" width="12.375" style="506" bestFit="1" customWidth="1"/>
    <col min="6150" max="6150" width="10.875" style="506" customWidth="1"/>
    <col min="6151" max="6151" width="10" style="506" customWidth="1"/>
    <col min="6152" max="6152" width="17.5" style="506" customWidth="1"/>
    <col min="6153" max="6153" width="10.875" style="506" customWidth="1"/>
    <col min="6154" max="6154" width="16" style="506" customWidth="1"/>
    <col min="6155" max="6155" width="12.375" style="506" bestFit="1" customWidth="1"/>
    <col min="6156" max="6372" width="11" style="506"/>
    <col min="6373" max="6373" width="32.75" style="506" customWidth="1"/>
    <col min="6374" max="6374" width="14.5" style="506" customWidth="1"/>
    <col min="6375" max="6375" width="15.625" style="506" bestFit="1" customWidth="1"/>
    <col min="6376" max="6376" width="15.5" style="506" customWidth="1"/>
    <col min="6377" max="6377" width="15.625" style="506" customWidth="1"/>
    <col min="6378" max="6378" width="15.625" style="506" bestFit="1" customWidth="1"/>
    <col min="6379" max="6379" width="15.875" style="506" customWidth="1"/>
    <col min="6380" max="6380" width="14.875" style="506" customWidth="1"/>
    <col min="6381" max="6381" width="14.5" style="506" customWidth="1"/>
    <col min="6382" max="6382" width="15.875" style="506" customWidth="1"/>
    <col min="6383" max="6383" width="12" style="506" bestFit="1" customWidth="1"/>
    <col min="6384" max="6384" width="18.625" style="506" customWidth="1"/>
    <col min="6385" max="6385" width="15.125" style="506" customWidth="1"/>
    <col min="6386" max="6386" width="15.625" style="506" bestFit="1" customWidth="1"/>
    <col min="6387" max="6387" width="16.375" style="506" customWidth="1"/>
    <col min="6388" max="6388" width="13.875" style="506" customWidth="1"/>
    <col min="6389" max="6389" width="18.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75" style="506" customWidth="1"/>
    <col min="6394" max="6394" width="10.875" style="506" customWidth="1"/>
    <col min="6395" max="6395" width="10" style="506" customWidth="1"/>
    <col min="6396" max="6396" width="17.375" style="506" customWidth="1"/>
    <col min="6397" max="6397" width="10.875" style="506" customWidth="1"/>
    <col min="6398" max="6398" width="10" style="506" customWidth="1"/>
    <col min="6399" max="6399" width="16.125" style="506" customWidth="1"/>
    <col min="6400" max="6400" width="10.875" style="506" customWidth="1"/>
    <col min="6401" max="6401" width="12" style="506" customWidth="1"/>
    <col min="6402" max="6402" width="18.875" style="506" customWidth="1"/>
    <col min="6403" max="6403" width="10.875" style="506" customWidth="1"/>
    <col min="6404" max="6404" width="16.25" style="506" bestFit="1" customWidth="1"/>
    <col min="6405" max="6405" width="12.375" style="506" bestFit="1" customWidth="1"/>
    <col min="6406" max="6406" width="10.875" style="506" customWidth="1"/>
    <col min="6407" max="6407" width="10" style="506" customWidth="1"/>
    <col min="6408" max="6408" width="17.5" style="506" customWidth="1"/>
    <col min="6409" max="6409" width="10.875" style="506" customWidth="1"/>
    <col min="6410" max="6410" width="16" style="506" customWidth="1"/>
    <col min="6411" max="6411" width="12.375" style="506" bestFit="1" customWidth="1"/>
    <col min="6412" max="6628" width="11" style="506"/>
    <col min="6629" max="6629" width="32.75" style="506" customWidth="1"/>
    <col min="6630" max="6630" width="14.5" style="506" customWidth="1"/>
    <col min="6631" max="6631" width="15.625" style="506" bestFit="1" customWidth="1"/>
    <col min="6632" max="6632" width="15.5" style="506" customWidth="1"/>
    <col min="6633" max="6633" width="15.625" style="506" customWidth="1"/>
    <col min="6634" max="6634" width="15.625" style="506" bestFit="1" customWidth="1"/>
    <col min="6635" max="6635" width="15.875" style="506" customWidth="1"/>
    <col min="6636" max="6636" width="14.875" style="506" customWidth="1"/>
    <col min="6637" max="6637" width="14.5" style="506" customWidth="1"/>
    <col min="6638" max="6638" width="15.875" style="506" customWidth="1"/>
    <col min="6639" max="6639" width="12" style="506" bestFit="1" customWidth="1"/>
    <col min="6640" max="6640" width="18.625" style="506" customWidth="1"/>
    <col min="6641" max="6641" width="15.125" style="506" customWidth="1"/>
    <col min="6642" max="6642" width="15.625" style="506" bestFit="1" customWidth="1"/>
    <col min="6643" max="6643" width="16.375" style="506" customWidth="1"/>
    <col min="6644" max="6644" width="13.875" style="506" customWidth="1"/>
    <col min="6645" max="6645" width="18.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75" style="506" customWidth="1"/>
    <col min="6650" max="6650" width="10.875" style="506" customWidth="1"/>
    <col min="6651" max="6651" width="10" style="506" customWidth="1"/>
    <col min="6652" max="6652" width="17.375" style="506" customWidth="1"/>
    <col min="6653" max="6653" width="10.875" style="506" customWidth="1"/>
    <col min="6654" max="6654" width="10" style="506" customWidth="1"/>
    <col min="6655" max="6655" width="16.125" style="506" customWidth="1"/>
    <col min="6656" max="6656" width="10.875" style="506" customWidth="1"/>
    <col min="6657" max="6657" width="12" style="506" customWidth="1"/>
    <col min="6658" max="6658" width="18.875" style="506" customWidth="1"/>
    <col min="6659" max="6659" width="10.875" style="506" customWidth="1"/>
    <col min="6660" max="6660" width="16.25" style="506" bestFit="1" customWidth="1"/>
    <col min="6661" max="6661" width="12.375" style="506" bestFit="1" customWidth="1"/>
    <col min="6662" max="6662" width="10.875" style="506" customWidth="1"/>
    <col min="6663" max="6663" width="10" style="506" customWidth="1"/>
    <col min="6664" max="6664" width="17.5" style="506" customWidth="1"/>
    <col min="6665" max="6665" width="10.875" style="506" customWidth="1"/>
    <col min="6666" max="6666" width="16" style="506" customWidth="1"/>
    <col min="6667" max="6667" width="12.375" style="506" bestFit="1" customWidth="1"/>
    <col min="6668" max="6884" width="11" style="506"/>
    <col min="6885" max="6885" width="32.75" style="506" customWidth="1"/>
    <col min="6886" max="6886" width="14.5" style="506" customWidth="1"/>
    <col min="6887" max="6887" width="15.625" style="506" bestFit="1" customWidth="1"/>
    <col min="6888" max="6888" width="15.5" style="506" customWidth="1"/>
    <col min="6889" max="6889" width="15.625" style="506" customWidth="1"/>
    <col min="6890" max="6890" width="15.625" style="506" bestFit="1" customWidth="1"/>
    <col min="6891" max="6891" width="15.875" style="506" customWidth="1"/>
    <col min="6892" max="6892" width="14.875" style="506" customWidth="1"/>
    <col min="6893" max="6893" width="14.5" style="506" customWidth="1"/>
    <col min="6894" max="6894" width="15.875" style="506" customWidth="1"/>
    <col min="6895" max="6895" width="12" style="506" bestFit="1" customWidth="1"/>
    <col min="6896" max="6896" width="18.625" style="506" customWidth="1"/>
    <col min="6897" max="6897" width="15.125" style="506" customWidth="1"/>
    <col min="6898" max="6898" width="15.625" style="506" bestFit="1" customWidth="1"/>
    <col min="6899" max="6899" width="16.375" style="506" customWidth="1"/>
    <col min="6900" max="6900" width="13.875" style="506" customWidth="1"/>
    <col min="6901" max="6901" width="18.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75" style="506" customWidth="1"/>
    <col min="6906" max="6906" width="10.875" style="506" customWidth="1"/>
    <col min="6907" max="6907" width="10" style="506" customWidth="1"/>
    <col min="6908" max="6908" width="17.375" style="506" customWidth="1"/>
    <col min="6909" max="6909" width="10.875" style="506" customWidth="1"/>
    <col min="6910" max="6910" width="10" style="506" customWidth="1"/>
    <col min="6911" max="6911" width="16.125" style="506" customWidth="1"/>
    <col min="6912" max="6912" width="10.875" style="506" customWidth="1"/>
    <col min="6913" max="6913" width="12" style="506" customWidth="1"/>
    <col min="6914" max="6914" width="18.875" style="506" customWidth="1"/>
    <col min="6915" max="6915" width="10.875" style="506" customWidth="1"/>
    <col min="6916" max="6916" width="16.25" style="506" bestFit="1" customWidth="1"/>
    <col min="6917" max="6917" width="12.375" style="506" bestFit="1" customWidth="1"/>
    <col min="6918" max="6918" width="10.875" style="506" customWidth="1"/>
    <col min="6919" max="6919" width="10" style="506" customWidth="1"/>
    <col min="6920" max="6920" width="17.5" style="506" customWidth="1"/>
    <col min="6921" max="6921" width="10.875" style="506" customWidth="1"/>
    <col min="6922" max="6922" width="16" style="506" customWidth="1"/>
    <col min="6923" max="6923" width="12.375" style="506" bestFit="1" customWidth="1"/>
    <col min="6924" max="7140" width="11" style="506"/>
    <col min="7141" max="7141" width="32.75" style="506" customWidth="1"/>
    <col min="7142" max="7142" width="14.5" style="506" customWidth="1"/>
    <col min="7143" max="7143" width="15.625" style="506" bestFit="1" customWidth="1"/>
    <col min="7144" max="7144" width="15.5" style="506" customWidth="1"/>
    <col min="7145" max="7145" width="15.625" style="506" customWidth="1"/>
    <col min="7146" max="7146" width="15.625" style="506" bestFit="1" customWidth="1"/>
    <col min="7147" max="7147" width="15.875" style="506" customWidth="1"/>
    <col min="7148" max="7148" width="14.875" style="506" customWidth="1"/>
    <col min="7149" max="7149" width="14.5" style="506" customWidth="1"/>
    <col min="7150" max="7150" width="15.875" style="506" customWidth="1"/>
    <col min="7151" max="7151" width="12" style="506" bestFit="1" customWidth="1"/>
    <col min="7152" max="7152" width="18.625" style="506" customWidth="1"/>
    <col min="7153" max="7153" width="15.125" style="506" customWidth="1"/>
    <col min="7154" max="7154" width="15.625" style="506" bestFit="1" customWidth="1"/>
    <col min="7155" max="7155" width="16.375" style="506" customWidth="1"/>
    <col min="7156" max="7156" width="13.875" style="506" customWidth="1"/>
    <col min="7157" max="7157" width="18.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75" style="506" customWidth="1"/>
    <col min="7162" max="7162" width="10.875" style="506" customWidth="1"/>
    <col min="7163" max="7163" width="10" style="506" customWidth="1"/>
    <col min="7164" max="7164" width="17.375" style="506" customWidth="1"/>
    <col min="7165" max="7165" width="10.875" style="506" customWidth="1"/>
    <col min="7166" max="7166" width="10" style="506" customWidth="1"/>
    <col min="7167" max="7167" width="16.125" style="506" customWidth="1"/>
    <col min="7168" max="7168" width="10.875" style="506" customWidth="1"/>
    <col min="7169" max="7169" width="12" style="506" customWidth="1"/>
    <col min="7170" max="7170" width="18.875" style="506" customWidth="1"/>
    <col min="7171" max="7171" width="10.875" style="506" customWidth="1"/>
    <col min="7172" max="7172" width="16.25" style="506" bestFit="1" customWidth="1"/>
    <col min="7173" max="7173" width="12.375" style="506" bestFit="1" customWidth="1"/>
    <col min="7174" max="7174" width="10.875" style="506" customWidth="1"/>
    <col min="7175" max="7175" width="10" style="506" customWidth="1"/>
    <col min="7176" max="7176" width="17.5" style="506" customWidth="1"/>
    <col min="7177" max="7177" width="10.875" style="506" customWidth="1"/>
    <col min="7178" max="7178" width="16" style="506" customWidth="1"/>
    <col min="7179" max="7179" width="12.375" style="506" bestFit="1" customWidth="1"/>
    <col min="7180" max="7396" width="11" style="506"/>
    <col min="7397" max="7397" width="32.75" style="506" customWidth="1"/>
    <col min="7398" max="7398" width="14.5" style="506" customWidth="1"/>
    <col min="7399" max="7399" width="15.625" style="506" bestFit="1" customWidth="1"/>
    <col min="7400" max="7400" width="15.5" style="506" customWidth="1"/>
    <col min="7401" max="7401" width="15.625" style="506" customWidth="1"/>
    <col min="7402" max="7402" width="15.625" style="506" bestFit="1" customWidth="1"/>
    <col min="7403" max="7403" width="15.875" style="506" customWidth="1"/>
    <col min="7404" max="7404" width="14.875" style="506" customWidth="1"/>
    <col min="7405" max="7405" width="14.5" style="506" customWidth="1"/>
    <col min="7406" max="7406" width="15.875" style="506" customWidth="1"/>
    <col min="7407" max="7407" width="12" style="506" bestFit="1" customWidth="1"/>
    <col min="7408" max="7408" width="18.625" style="506" customWidth="1"/>
    <col min="7409" max="7409" width="15.125" style="506" customWidth="1"/>
    <col min="7410" max="7410" width="15.625" style="506" bestFit="1" customWidth="1"/>
    <col min="7411" max="7411" width="16.375" style="506" customWidth="1"/>
    <col min="7412" max="7412" width="13.875" style="506" customWidth="1"/>
    <col min="7413" max="7413" width="18.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75" style="506" customWidth="1"/>
    <col min="7418" max="7418" width="10.875" style="506" customWidth="1"/>
    <col min="7419" max="7419" width="10" style="506" customWidth="1"/>
    <col min="7420" max="7420" width="17.375" style="506" customWidth="1"/>
    <col min="7421" max="7421" width="10.875" style="506" customWidth="1"/>
    <col min="7422" max="7422" width="10" style="506" customWidth="1"/>
    <col min="7423" max="7423" width="16.125" style="506" customWidth="1"/>
    <col min="7424" max="7424" width="10.875" style="506" customWidth="1"/>
    <col min="7425" max="7425" width="12" style="506" customWidth="1"/>
    <col min="7426" max="7426" width="18.875" style="506" customWidth="1"/>
    <col min="7427" max="7427" width="10.875" style="506" customWidth="1"/>
    <col min="7428" max="7428" width="16.25" style="506" bestFit="1" customWidth="1"/>
    <col min="7429" max="7429" width="12.375" style="506" bestFit="1" customWidth="1"/>
    <col min="7430" max="7430" width="10.875" style="506" customWidth="1"/>
    <col min="7431" max="7431" width="10" style="506" customWidth="1"/>
    <col min="7432" max="7432" width="17.5" style="506" customWidth="1"/>
    <col min="7433" max="7433" width="10.875" style="506" customWidth="1"/>
    <col min="7434" max="7434" width="16" style="506" customWidth="1"/>
    <col min="7435" max="7435" width="12.375" style="506" bestFit="1" customWidth="1"/>
    <col min="7436" max="7652" width="11" style="506"/>
    <col min="7653" max="7653" width="32.75" style="506" customWidth="1"/>
    <col min="7654" max="7654" width="14.5" style="506" customWidth="1"/>
    <col min="7655" max="7655" width="15.625" style="506" bestFit="1" customWidth="1"/>
    <col min="7656" max="7656" width="15.5" style="506" customWidth="1"/>
    <col min="7657" max="7657" width="15.625" style="506" customWidth="1"/>
    <col min="7658" max="7658" width="15.625" style="506" bestFit="1" customWidth="1"/>
    <col min="7659" max="7659" width="15.875" style="506" customWidth="1"/>
    <col min="7660" max="7660" width="14.875" style="506" customWidth="1"/>
    <col min="7661" max="7661" width="14.5" style="506" customWidth="1"/>
    <col min="7662" max="7662" width="15.875" style="506" customWidth="1"/>
    <col min="7663" max="7663" width="12" style="506" bestFit="1" customWidth="1"/>
    <col min="7664" max="7664" width="18.625" style="506" customWidth="1"/>
    <col min="7665" max="7665" width="15.125" style="506" customWidth="1"/>
    <col min="7666" max="7666" width="15.625" style="506" bestFit="1" customWidth="1"/>
    <col min="7667" max="7667" width="16.375" style="506" customWidth="1"/>
    <col min="7668" max="7668" width="13.875" style="506" customWidth="1"/>
    <col min="7669" max="7669" width="18.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75" style="506" customWidth="1"/>
    <col min="7674" max="7674" width="10.875" style="506" customWidth="1"/>
    <col min="7675" max="7675" width="10" style="506" customWidth="1"/>
    <col min="7676" max="7676" width="17.375" style="506" customWidth="1"/>
    <col min="7677" max="7677" width="10.875" style="506" customWidth="1"/>
    <col min="7678" max="7678" width="10" style="506" customWidth="1"/>
    <col min="7679" max="7679" width="16.125" style="506" customWidth="1"/>
    <col min="7680" max="7680" width="10.875" style="506" customWidth="1"/>
    <col min="7681" max="7681" width="12" style="506" customWidth="1"/>
    <col min="7682" max="7682" width="18.875" style="506" customWidth="1"/>
    <col min="7683" max="7683" width="10.875" style="506" customWidth="1"/>
    <col min="7684" max="7684" width="16.25" style="506" bestFit="1" customWidth="1"/>
    <col min="7685" max="7685" width="12.375" style="506" bestFit="1" customWidth="1"/>
    <col min="7686" max="7686" width="10.875" style="506" customWidth="1"/>
    <col min="7687" max="7687" width="10" style="506" customWidth="1"/>
    <col min="7688" max="7688" width="17.5" style="506" customWidth="1"/>
    <col min="7689" max="7689" width="10.875" style="506" customWidth="1"/>
    <col min="7690" max="7690" width="16" style="506" customWidth="1"/>
    <col min="7691" max="7691" width="12.375" style="506" bestFit="1" customWidth="1"/>
    <col min="7692" max="7908" width="11" style="506"/>
    <col min="7909" max="7909" width="32.75" style="506" customWidth="1"/>
    <col min="7910" max="7910" width="14.5" style="506" customWidth="1"/>
    <col min="7911" max="7911" width="15.625" style="506" bestFit="1" customWidth="1"/>
    <col min="7912" max="7912" width="15.5" style="506" customWidth="1"/>
    <col min="7913" max="7913" width="15.625" style="506" customWidth="1"/>
    <col min="7914" max="7914" width="15.625" style="506" bestFit="1" customWidth="1"/>
    <col min="7915" max="7915" width="15.875" style="506" customWidth="1"/>
    <col min="7916" max="7916" width="14.875" style="506" customWidth="1"/>
    <col min="7917" max="7917" width="14.5" style="506" customWidth="1"/>
    <col min="7918" max="7918" width="15.875" style="506" customWidth="1"/>
    <col min="7919" max="7919" width="12" style="506" bestFit="1" customWidth="1"/>
    <col min="7920" max="7920" width="18.625" style="506" customWidth="1"/>
    <col min="7921" max="7921" width="15.125" style="506" customWidth="1"/>
    <col min="7922" max="7922" width="15.625" style="506" bestFit="1" customWidth="1"/>
    <col min="7923" max="7923" width="16.375" style="506" customWidth="1"/>
    <col min="7924" max="7924" width="13.875" style="506" customWidth="1"/>
    <col min="7925" max="7925" width="18.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75" style="506" customWidth="1"/>
    <col min="7930" max="7930" width="10.875" style="506" customWidth="1"/>
    <col min="7931" max="7931" width="10" style="506" customWidth="1"/>
    <col min="7932" max="7932" width="17.375" style="506" customWidth="1"/>
    <col min="7933" max="7933" width="10.875" style="506" customWidth="1"/>
    <col min="7934" max="7934" width="10" style="506" customWidth="1"/>
    <col min="7935" max="7935" width="16.125" style="506" customWidth="1"/>
    <col min="7936" max="7936" width="10.875" style="506" customWidth="1"/>
    <col min="7937" max="7937" width="12" style="506" customWidth="1"/>
    <col min="7938" max="7938" width="18.875" style="506" customWidth="1"/>
    <col min="7939" max="7939" width="10.875" style="506" customWidth="1"/>
    <col min="7940" max="7940" width="16.25" style="506" bestFit="1" customWidth="1"/>
    <col min="7941" max="7941" width="12.375" style="506" bestFit="1" customWidth="1"/>
    <col min="7942" max="7942" width="10.875" style="506" customWidth="1"/>
    <col min="7943" max="7943" width="10" style="506" customWidth="1"/>
    <col min="7944" max="7944" width="17.5" style="506" customWidth="1"/>
    <col min="7945" max="7945" width="10.875" style="506" customWidth="1"/>
    <col min="7946" max="7946" width="16" style="506" customWidth="1"/>
    <col min="7947" max="7947" width="12.375" style="506" bestFit="1" customWidth="1"/>
    <col min="7948" max="8164" width="11" style="506"/>
    <col min="8165" max="8165" width="32.75" style="506" customWidth="1"/>
    <col min="8166" max="8166" width="14.5" style="506" customWidth="1"/>
    <col min="8167" max="8167" width="15.625" style="506" bestFit="1" customWidth="1"/>
    <col min="8168" max="8168" width="15.5" style="506" customWidth="1"/>
    <col min="8169" max="8169" width="15.625" style="506" customWidth="1"/>
    <col min="8170" max="8170" width="15.625" style="506" bestFit="1" customWidth="1"/>
    <col min="8171" max="8171" width="15.875" style="506" customWidth="1"/>
    <col min="8172" max="8172" width="14.875" style="506" customWidth="1"/>
    <col min="8173" max="8173" width="14.5" style="506" customWidth="1"/>
    <col min="8174" max="8174" width="15.875" style="506" customWidth="1"/>
    <col min="8175" max="8175" width="12" style="506" bestFit="1" customWidth="1"/>
    <col min="8176" max="8176" width="18.625" style="506" customWidth="1"/>
    <col min="8177" max="8177" width="15.125" style="506" customWidth="1"/>
    <col min="8178" max="8178" width="15.625" style="506" bestFit="1" customWidth="1"/>
    <col min="8179" max="8179" width="16.375" style="506" customWidth="1"/>
    <col min="8180" max="8180" width="13.875" style="506" customWidth="1"/>
    <col min="8181" max="8181" width="18.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75" style="506" customWidth="1"/>
    <col min="8186" max="8186" width="10.875" style="506" customWidth="1"/>
    <col min="8187" max="8187" width="10" style="506" customWidth="1"/>
    <col min="8188" max="8188" width="17.375" style="506" customWidth="1"/>
    <col min="8189" max="8189" width="10.875" style="506" customWidth="1"/>
    <col min="8190" max="8190" width="10" style="506" customWidth="1"/>
    <col min="8191" max="8191" width="16.125" style="506" customWidth="1"/>
    <col min="8192" max="8192" width="10.875" style="506" customWidth="1"/>
    <col min="8193" max="8193" width="12" style="506" customWidth="1"/>
    <col min="8194" max="8194" width="18.875" style="506" customWidth="1"/>
    <col min="8195" max="8195" width="10.875" style="506" customWidth="1"/>
    <col min="8196" max="8196" width="16.25" style="506" bestFit="1" customWidth="1"/>
    <col min="8197" max="8197" width="12.375" style="506" bestFit="1" customWidth="1"/>
    <col min="8198" max="8198" width="10.875" style="506" customWidth="1"/>
    <col min="8199" max="8199" width="10" style="506" customWidth="1"/>
    <col min="8200" max="8200" width="17.5" style="506" customWidth="1"/>
    <col min="8201" max="8201" width="10.875" style="506" customWidth="1"/>
    <col min="8202" max="8202" width="16" style="506" customWidth="1"/>
    <col min="8203" max="8203" width="12.375" style="506" bestFit="1" customWidth="1"/>
    <col min="8204" max="8420" width="11" style="506"/>
    <col min="8421" max="8421" width="32.75" style="506" customWidth="1"/>
    <col min="8422" max="8422" width="14.5" style="506" customWidth="1"/>
    <col min="8423" max="8423" width="15.625" style="506" bestFit="1" customWidth="1"/>
    <col min="8424" max="8424" width="15.5" style="506" customWidth="1"/>
    <col min="8425" max="8425" width="15.625" style="506" customWidth="1"/>
    <col min="8426" max="8426" width="15.625" style="506" bestFit="1" customWidth="1"/>
    <col min="8427" max="8427" width="15.875" style="506" customWidth="1"/>
    <col min="8428" max="8428" width="14.875" style="506" customWidth="1"/>
    <col min="8429" max="8429" width="14.5" style="506" customWidth="1"/>
    <col min="8430" max="8430" width="15.875" style="506" customWidth="1"/>
    <col min="8431" max="8431" width="12" style="506" bestFit="1" customWidth="1"/>
    <col min="8432" max="8432" width="18.625" style="506" customWidth="1"/>
    <col min="8433" max="8433" width="15.125" style="506" customWidth="1"/>
    <col min="8434" max="8434" width="15.625" style="506" bestFit="1" customWidth="1"/>
    <col min="8435" max="8435" width="16.375" style="506" customWidth="1"/>
    <col min="8436" max="8436" width="13.875" style="506" customWidth="1"/>
    <col min="8437" max="8437" width="18.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75" style="506" customWidth="1"/>
    <col min="8442" max="8442" width="10.875" style="506" customWidth="1"/>
    <col min="8443" max="8443" width="10" style="506" customWidth="1"/>
    <col min="8444" max="8444" width="17.375" style="506" customWidth="1"/>
    <col min="8445" max="8445" width="10.875" style="506" customWidth="1"/>
    <col min="8446" max="8446" width="10" style="506" customWidth="1"/>
    <col min="8447" max="8447" width="16.125" style="506" customWidth="1"/>
    <col min="8448" max="8448" width="10.875" style="506" customWidth="1"/>
    <col min="8449" max="8449" width="12" style="506" customWidth="1"/>
    <col min="8450" max="8450" width="18.875" style="506" customWidth="1"/>
    <col min="8451" max="8451" width="10.875" style="506" customWidth="1"/>
    <col min="8452" max="8452" width="16.25" style="506" bestFit="1" customWidth="1"/>
    <col min="8453" max="8453" width="12.375" style="506" bestFit="1" customWidth="1"/>
    <col min="8454" max="8454" width="10.875" style="506" customWidth="1"/>
    <col min="8455" max="8455" width="10" style="506" customWidth="1"/>
    <col min="8456" max="8456" width="17.5" style="506" customWidth="1"/>
    <col min="8457" max="8457" width="10.875" style="506" customWidth="1"/>
    <col min="8458" max="8458" width="16" style="506" customWidth="1"/>
    <col min="8459" max="8459" width="12.375" style="506" bestFit="1" customWidth="1"/>
    <col min="8460" max="8676" width="11" style="506"/>
    <col min="8677" max="8677" width="32.75" style="506" customWidth="1"/>
    <col min="8678" max="8678" width="14.5" style="506" customWidth="1"/>
    <col min="8679" max="8679" width="15.625" style="506" bestFit="1" customWidth="1"/>
    <col min="8680" max="8680" width="15.5" style="506" customWidth="1"/>
    <col min="8681" max="8681" width="15.625" style="506" customWidth="1"/>
    <col min="8682" max="8682" width="15.625" style="506" bestFit="1" customWidth="1"/>
    <col min="8683" max="8683" width="15.875" style="506" customWidth="1"/>
    <col min="8684" max="8684" width="14.875" style="506" customWidth="1"/>
    <col min="8685" max="8685" width="14.5" style="506" customWidth="1"/>
    <col min="8686" max="8686" width="15.875" style="506" customWidth="1"/>
    <col min="8687" max="8687" width="12" style="506" bestFit="1" customWidth="1"/>
    <col min="8688" max="8688" width="18.625" style="506" customWidth="1"/>
    <col min="8689" max="8689" width="15.125" style="506" customWidth="1"/>
    <col min="8690" max="8690" width="15.625" style="506" bestFit="1" customWidth="1"/>
    <col min="8691" max="8691" width="16.375" style="506" customWidth="1"/>
    <col min="8692" max="8692" width="13.875" style="506" customWidth="1"/>
    <col min="8693" max="8693" width="18.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75" style="506" customWidth="1"/>
    <col min="8698" max="8698" width="10.875" style="506" customWidth="1"/>
    <col min="8699" max="8699" width="10" style="506" customWidth="1"/>
    <col min="8700" max="8700" width="17.375" style="506" customWidth="1"/>
    <col min="8701" max="8701" width="10.875" style="506" customWidth="1"/>
    <col min="8702" max="8702" width="10" style="506" customWidth="1"/>
    <col min="8703" max="8703" width="16.125" style="506" customWidth="1"/>
    <col min="8704" max="8704" width="10.875" style="506" customWidth="1"/>
    <col min="8705" max="8705" width="12" style="506" customWidth="1"/>
    <col min="8706" max="8706" width="18.875" style="506" customWidth="1"/>
    <col min="8707" max="8707" width="10.875" style="506" customWidth="1"/>
    <col min="8708" max="8708" width="16.25" style="506" bestFit="1" customWidth="1"/>
    <col min="8709" max="8709" width="12.375" style="506" bestFit="1" customWidth="1"/>
    <col min="8710" max="8710" width="10.875" style="506" customWidth="1"/>
    <col min="8711" max="8711" width="10" style="506" customWidth="1"/>
    <col min="8712" max="8712" width="17.5" style="506" customWidth="1"/>
    <col min="8713" max="8713" width="10.875" style="506" customWidth="1"/>
    <col min="8714" max="8714" width="16" style="506" customWidth="1"/>
    <col min="8715" max="8715" width="12.375" style="506" bestFit="1" customWidth="1"/>
    <col min="8716" max="8932" width="11" style="506"/>
    <col min="8933" max="8933" width="32.75" style="506" customWidth="1"/>
    <col min="8934" max="8934" width="14.5" style="506" customWidth="1"/>
    <col min="8935" max="8935" width="15.625" style="506" bestFit="1" customWidth="1"/>
    <col min="8936" max="8936" width="15.5" style="506" customWidth="1"/>
    <col min="8937" max="8937" width="15.625" style="506" customWidth="1"/>
    <col min="8938" max="8938" width="15.625" style="506" bestFit="1" customWidth="1"/>
    <col min="8939" max="8939" width="15.875" style="506" customWidth="1"/>
    <col min="8940" max="8940" width="14.875" style="506" customWidth="1"/>
    <col min="8941" max="8941" width="14.5" style="506" customWidth="1"/>
    <col min="8942" max="8942" width="15.875" style="506" customWidth="1"/>
    <col min="8943" max="8943" width="12" style="506" bestFit="1" customWidth="1"/>
    <col min="8944" max="8944" width="18.625" style="506" customWidth="1"/>
    <col min="8945" max="8945" width="15.125" style="506" customWidth="1"/>
    <col min="8946" max="8946" width="15.625" style="506" bestFit="1" customWidth="1"/>
    <col min="8947" max="8947" width="16.375" style="506" customWidth="1"/>
    <col min="8948" max="8948" width="13.875" style="506" customWidth="1"/>
    <col min="8949" max="8949" width="18.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75" style="506" customWidth="1"/>
    <col min="8954" max="8954" width="10.875" style="506" customWidth="1"/>
    <col min="8955" max="8955" width="10" style="506" customWidth="1"/>
    <col min="8956" max="8956" width="17.375" style="506" customWidth="1"/>
    <col min="8957" max="8957" width="10.875" style="506" customWidth="1"/>
    <col min="8958" max="8958" width="10" style="506" customWidth="1"/>
    <col min="8959" max="8959" width="16.125" style="506" customWidth="1"/>
    <col min="8960" max="8960" width="10.875" style="506" customWidth="1"/>
    <col min="8961" max="8961" width="12" style="506" customWidth="1"/>
    <col min="8962" max="8962" width="18.875" style="506" customWidth="1"/>
    <col min="8963" max="8963" width="10.875" style="506" customWidth="1"/>
    <col min="8964" max="8964" width="16.25" style="506" bestFit="1" customWidth="1"/>
    <col min="8965" max="8965" width="12.375" style="506" bestFit="1" customWidth="1"/>
    <col min="8966" max="8966" width="10.875" style="506" customWidth="1"/>
    <col min="8967" max="8967" width="10" style="506" customWidth="1"/>
    <col min="8968" max="8968" width="17.5" style="506" customWidth="1"/>
    <col min="8969" max="8969" width="10.875" style="506" customWidth="1"/>
    <col min="8970" max="8970" width="16" style="506" customWidth="1"/>
    <col min="8971" max="8971" width="12.375" style="506" bestFit="1" customWidth="1"/>
    <col min="8972" max="9188" width="11" style="506"/>
    <col min="9189" max="9189" width="32.75" style="506" customWidth="1"/>
    <col min="9190" max="9190" width="14.5" style="506" customWidth="1"/>
    <col min="9191" max="9191" width="15.625" style="506" bestFit="1" customWidth="1"/>
    <col min="9192" max="9192" width="15.5" style="506" customWidth="1"/>
    <col min="9193" max="9193" width="15.625" style="506" customWidth="1"/>
    <col min="9194" max="9194" width="15.625" style="506" bestFit="1" customWidth="1"/>
    <col min="9195" max="9195" width="15.875" style="506" customWidth="1"/>
    <col min="9196" max="9196" width="14.875" style="506" customWidth="1"/>
    <col min="9197" max="9197" width="14.5" style="506" customWidth="1"/>
    <col min="9198" max="9198" width="15.875" style="506" customWidth="1"/>
    <col min="9199" max="9199" width="12" style="506" bestFit="1" customWidth="1"/>
    <col min="9200" max="9200" width="18.625" style="506" customWidth="1"/>
    <col min="9201" max="9201" width="15.125" style="506" customWidth="1"/>
    <col min="9202" max="9202" width="15.625" style="506" bestFit="1" customWidth="1"/>
    <col min="9203" max="9203" width="16.375" style="506" customWidth="1"/>
    <col min="9204" max="9204" width="13.875" style="506" customWidth="1"/>
    <col min="9205" max="9205" width="18.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75" style="506" customWidth="1"/>
    <col min="9210" max="9210" width="10.875" style="506" customWidth="1"/>
    <col min="9211" max="9211" width="10" style="506" customWidth="1"/>
    <col min="9212" max="9212" width="17.375" style="506" customWidth="1"/>
    <col min="9213" max="9213" width="10.875" style="506" customWidth="1"/>
    <col min="9214" max="9214" width="10" style="506" customWidth="1"/>
    <col min="9215" max="9215" width="16.125" style="506" customWidth="1"/>
    <col min="9216" max="9216" width="10.875" style="506" customWidth="1"/>
    <col min="9217" max="9217" width="12" style="506" customWidth="1"/>
    <col min="9218" max="9218" width="18.875" style="506" customWidth="1"/>
    <col min="9219" max="9219" width="10.875" style="506" customWidth="1"/>
    <col min="9220" max="9220" width="16.25" style="506" bestFit="1" customWidth="1"/>
    <col min="9221" max="9221" width="12.375" style="506" bestFit="1" customWidth="1"/>
    <col min="9222" max="9222" width="10.875" style="506" customWidth="1"/>
    <col min="9223" max="9223" width="10" style="506" customWidth="1"/>
    <col min="9224" max="9224" width="17.5" style="506" customWidth="1"/>
    <col min="9225" max="9225" width="10.875" style="506" customWidth="1"/>
    <col min="9226" max="9226" width="16" style="506" customWidth="1"/>
    <col min="9227" max="9227" width="12.375" style="506" bestFit="1" customWidth="1"/>
    <col min="9228" max="9444" width="11" style="506"/>
    <col min="9445" max="9445" width="32.75" style="506" customWidth="1"/>
    <col min="9446" max="9446" width="14.5" style="506" customWidth="1"/>
    <col min="9447" max="9447" width="15.625" style="506" bestFit="1" customWidth="1"/>
    <col min="9448" max="9448" width="15.5" style="506" customWidth="1"/>
    <col min="9449" max="9449" width="15.625" style="506" customWidth="1"/>
    <col min="9450" max="9450" width="15.625" style="506" bestFit="1" customWidth="1"/>
    <col min="9451" max="9451" width="15.875" style="506" customWidth="1"/>
    <col min="9452" max="9452" width="14.875" style="506" customWidth="1"/>
    <col min="9453" max="9453" width="14.5" style="506" customWidth="1"/>
    <col min="9454" max="9454" width="15.875" style="506" customWidth="1"/>
    <col min="9455" max="9455" width="12" style="506" bestFit="1" customWidth="1"/>
    <col min="9456" max="9456" width="18.625" style="506" customWidth="1"/>
    <col min="9457" max="9457" width="15.125" style="506" customWidth="1"/>
    <col min="9458" max="9458" width="15.625" style="506" bestFit="1" customWidth="1"/>
    <col min="9459" max="9459" width="16.375" style="506" customWidth="1"/>
    <col min="9460" max="9460" width="13.875" style="506" customWidth="1"/>
    <col min="9461" max="9461" width="18.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75" style="506" customWidth="1"/>
    <col min="9466" max="9466" width="10.875" style="506" customWidth="1"/>
    <col min="9467" max="9467" width="10" style="506" customWidth="1"/>
    <col min="9468" max="9468" width="17.375" style="506" customWidth="1"/>
    <col min="9469" max="9469" width="10.875" style="506" customWidth="1"/>
    <col min="9470" max="9470" width="10" style="506" customWidth="1"/>
    <col min="9471" max="9471" width="16.125" style="506" customWidth="1"/>
    <col min="9472" max="9472" width="10.875" style="506" customWidth="1"/>
    <col min="9473" max="9473" width="12" style="506" customWidth="1"/>
    <col min="9474" max="9474" width="18.875" style="506" customWidth="1"/>
    <col min="9475" max="9475" width="10.875" style="506" customWidth="1"/>
    <col min="9476" max="9476" width="16.25" style="506" bestFit="1" customWidth="1"/>
    <col min="9477" max="9477" width="12.375" style="506" bestFit="1" customWidth="1"/>
    <col min="9478" max="9478" width="10.875" style="506" customWidth="1"/>
    <col min="9479" max="9479" width="10" style="506" customWidth="1"/>
    <col min="9480" max="9480" width="17.5" style="506" customWidth="1"/>
    <col min="9481" max="9481" width="10.875" style="506" customWidth="1"/>
    <col min="9482" max="9482" width="16" style="506" customWidth="1"/>
    <col min="9483" max="9483" width="12.375" style="506" bestFit="1" customWidth="1"/>
    <col min="9484" max="9700" width="11" style="506"/>
    <col min="9701" max="9701" width="32.75" style="506" customWidth="1"/>
    <col min="9702" max="9702" width="14.5" style="506" customWidth="1"/>
    <col min="9703" max="9703" width="15.625" style="506" bestFit="1" customWidth="1"/>
    <col min="9704" max="9704" width="15.5" style="506" customWidth="1"/>
    <col min="9705" max="9705" width="15.625" style="506" customWidth="1"/>
    <col min="9706" max="9706" width="15.625" style="506" bestFit="1" customWidth="1"/>
    <col min="9707" max="9707" width="15.875" style="506" customWidth="1"/>
    <col min="9708" max="9708" width="14.875" style="506" customWidth="1"/>
    <col min="9709" max="9709" width="14.5" style="506" customWidth="1"/>
    <col min="9710" max="9710" width="15.875" style="506" customWidth="1"/>
    <col min="9711" max="9711" width="12" style="506" bestFit="1" customWidth="1"/>
    <col min="9712" max="9712" width="18.625" style="506" customWidth="1"/>
    <col min="9713" max="9713" width="15.125" style="506" customWidth="1"/>
    <col min="9714" max="9714" width="15.625" style="506" bestFit="1" customWidth="1"/>
    <col min="9715" max="9715" width="16.375" style="506" customWidth="1"/>
    <col min="9716" max="9716" width="13.875" style="506" customWidth="1"/>
    <col min="9717" max="9717" width="18.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75" style="506" customWidth="1"/>
    <col min="9722" max="9722" width="10.875" style="506" customWidth="1"/>
    <col min="9723" max="9723" width="10" style="506" customWidth="1"/>
    <col min="9724" max="9724" width="17.375" style="506" customWidth="1"/>
    <col min="9725" max="9725" width="10.875" style="506" customWidth="1"/>
    <col min="9726" max="9726" width="10" style="506" customWidth="1"/>
    <col min="9727" max="9727" width="16.125" style="506" customWidth="1"/>
    <col min="9728" max="9728" width="10.875" style="506" customWidth="1"/>
    <col min="9729" max="9729" width="12" style="506" customWidth="1"/>
    <col min="9730" max="9730" width="18.875" style="506" customWidth="1"/>
    <col min="9731" max="9731" width="10.875" style="506" customWidth="1"/>
    <col min="9732" max="9732" width="16.25" style="506" bestFit="1" customWidth="1"/>
    <col min="9733" max="9733" width="12.375" style="506" bestFit="1" customWidth="1"/>
    <col min="9734" max="9734" width="10.875" style="506" customWidth="1"/>
    <col min="9735" max="9735" width="10" style="506" customWidth="1"/>
    <col min="9736" max="9736" width="17.5" style="506" customWidth="1"/>
    <col min="9737" max="9737" width="10.875" style="506" customWidth="1"/>
    <col min="9738" max="9738" width="16" style="506" customWidth="1"/>
    <col min="9739" max="9739" width="12.375" style="506" bestFit="1" customWidth="1"/>
    <col min="9740" max="9956" width="11" style="506"/>
    <col min="9957" max="9957" width="32.75" style="506" customWidth="1"/>
    <col min="9958" max="9958" width="14.5" style="506" customWidth="1"/>
    <col min="9959" max="9959" width="15.625" style="506" bestFit="1" customWidth="1"/>
    <col min="9960" max="9960" width="15.5" style="506" customWidth="1"/>
    <col min="9961" max="9961" width="15.625" style="506" customWidth="1"/>
    <col min="9962" max="9962" width="15.625" style="506" bestFit="1" customWidth="1"/>
    <col min="9963" max="9963" width="15.875" style="506" customWidth="1"/>
    <col min="9964" max="9964" width="14.875" style="506" customWidth="1"/>
    <col min="9965" max="9965" width="14.5" style="506" customWidth="1"/>
    <col min="9966" max="9966" width="15.875" style="506" customWidth="1"/>
    <col min="9967" max="9967" width="12" style="506" bestFit="1" customWidth="1"/>
    <col min="9968" max="9968" width="18.625" style="506" customWidth="1"/>
    <col min="9969" max="9969" width="15.125" style="506" customWidth="1"/>
    <col min="9970" max="9970" width="15.625" style="506" bestFit="1" customWidth="1"/>
    <col min="9971" max="9971" width="16.375" style="506" customWidth="1"/>
    <col min="9972" max="9972" width="13.875" style="506" customWidth="1"/>
    <col min="9973" max="9973" width="18.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75" style="506" customWidth="1"/>
    <col min="9978" max="9978" width="10.875" style="506" customWidth="1"/>
    <col min="9979" max="9979" width="10" style="506" customWidth="1"/>
    <col min="9980" max="9980" width="17.375" style="506" customWidth="1"/>
    <col min="9981" max="9981" width="10.875" style="506" customWidth="1"/>
    <col min="9982" max="9982" width="10" style="506" customWidth="1"/>
    <col min="9983" max="9983" width="16.125" style="506" customWidth="1"/>
    <col min="9984" max="9984" width="10.875" style="506" customWidth="1"/>
    <col min="9985" max="9985" width="12" style="506" customWidth="1"/>
    <col min="9986" max="9986" width="18.875" style="506" customWidth="1"/>
    <col min="9987" max="9987" width="10.875" style="506" customWidth="1"/>
    <col min="9988" max="9988" width="16.25" style="506" bestFit="1" customWidth="1"/>
    <col min="9989" max="9989" width="12.375" style="506" bestFit="1" customWidth="1"/>
    <col min="9990" max="9990" width="10.875" style="506" customWidth="1"/>
    <col min="9991" max="9991" width="10" style="506" customWidth="1"/>
    <col min="9992" max="9992" width="17.5" style="506" customWidth="1"/>
    <col min="9993" max="9993" width="10.875" style="506" customWidth="1"/>
    <col min="9994" max="9994" width="16" style="506" customWidth="1"/>
    <col min="9995" max="9995" width="12.375" style="506" bestFit="1" customWidth="1"/>
    <col min="9996" max="10212" width="11" style="506"/>
    <col min="10213" max="10213" width="32.75" style="506" customWidth="1"/>
    <col min="10214" max="10214" width="14.5" style="506" customWidth="1"/>
    <col min="10215" max="10215" width="15.625" style="506" bestFit="1" customWidth="1"/>
    <col min="10216" max="10216" width="15.5" style="506" customWidth="1"/>
    <col min="10217" max="10217" width="15.625" style="506" customWidth="1"/>
    <col min="10218" max="10218" width="15.625" style="506" bestFit="1" customWidth="1"/>
    <col min="10219" max="10219" width="15.875" style="506" customWidth="1"/>
    <col min="10220" max="10220" width="14.875" style="506" customWidth="1"/>
    <col min="10221" max="10221" width="14.5" style="506" customWidth="1"/>
    <col min="10222" max="10222" width="15.875" style="506" customWidth="1"/>
    <col min="10223" max="10223" width="12" style="506" bestFit="1" customWidth="1"/>
    <col min="10224" max="10224" width="18.625" style="506" customWidth="1"/>
    <col min="10225" max="10225" width="15.125" style="506" customWidth="1"/>
    <col min="10226" max="10226" width="15.625" style="506" bestFit="1" customWidth="1"/>
    <col min="10227" max="10227" width="16.375" style="506" customWidth="1"/>
    <col min="10228" max="10228" width="13.875" style="506" customWidth="1"/>
    <col min="10229" max="10229" width="18.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75" style="506" customWidth="1"/>
    <col min="10234" max="10234" width="10.875" style="506" customWidth="1"/>
    <col min="10235" max="10235" width="10" style="506" customWidth="1"/>
    <col min="10236" max="10236" width="17.375" style="506" customWidth="1"/>
    <col min="10237" max="10237" width="10.875" style="506" customWidth="1"/>
    <col min="10238" max="10238" width="10" style="506" customWidth="1"/>
    <col min="10239" max="10239" width="16.125" style="506" customWidth="1"/>
    <col min="10240" max="10240" width="10.875" style="506" customWidth="1"/>
    <col min="10241" max="10241" width="12" style="506" customWidth="1"/>
    <col min="10242" max="10242" width="18.875" style="506" customWidth="1"/>
    <col min="10243" max="10243" width="10.875" style="506" customWidth="1"/>
    <col min="10244" max="10244" width="16.25" style="506" bestFit="1" customWidth="1"/>
    <col min="10245" max="10245" width="12.375" style="506" bestFit="1" customWidth="1"/>
    <col min="10246" max="10246" width="10.875" style="506" customWidth="1"/>
    <col min="10247" max="10247" width="10" style="506" customWidth="1"/>
    <col min="10248" max="10248" width="17.5" style="506" customWidth="1"/>
    <col min="10249" max="10249" width="10.875" style="506" customWidth="1"/>
    <col min="10250" max="10250" width="16" style="506" customWidth="1"/>
    <col min="10251" max="10251" width="12.375" style="506" bestFit="1" customWidth="1"/>
    <col min="10252" max="10468" width="11" style="506"/>
    <col min="10469" max="10469" width="32.75" style="506" customWidth="1"/>
    <col min="10470" max="10470" width="14.5" style="506" customWidth="1"/>
    <col min="10471" max="10471" width="15.625" style="506" bestFit="1" customWidth="1"/>
    <col min="10472" max="10472" width="15.5" style="506" customWidth="1"/>
    <col min="10473" max="10473" width="15.625" style="506" customWidth="1"/>
    <col min="10474" max="10474" width="15.625" style="506" bestFit="1" customWidth="1"/>
    <col min="10475" max="10475" width="15.875" style="506" customWidth="1"/>
    <col min="10476" max="10476" width="14.875" style="506" customWidth="1"/>
    <col min="10477" max="10477" width="14.5" style="506" customWidth="1"/>
    <col min="10478" max="10478" width="15.875" style="506" customWidth="1"/>
    <col min="10479" max="10479" width="12" style="506" bestFit="1" customWidth="1"/>
    <col min="10480" max="10480" width="18.625" style="506" customWidth="1"/>
    <col min="10481" max="10481" width="15.125" style="506" customWidth="1"/>
    <col min="10482" max="10482" width="15.625" style="506" bestFit="1" customWidth="1"/>
    <col min="10483" max="10483" width="16.375" style="506" customWidth="1"/>
    <col min="10484" max="10484" width="13.875" style="506" customWidth="1"/>
    <col min="10485" max="10485" width="18.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75" style="506" customWidth="1"/>
    <col min="10490" max="10490" width="10.875" style="506" customWidth="1"/>
    <col min="10491" max="10491" width="10" style="506" customWidth="1"/>
    <col min="10492" max="10492" width="17.375" style="506" customWidth="1"/>
    <col min="10493" max="10493" width="10.875" style="506" customWidth="1"/>
    <col min="10494" max="10494" width="10" style="506" customWidth="1"/>
    <col min="10495" max="10495" width="16.125" style="506" customWidth="1"/>
    <col min="10496" max="10496" width="10.875" style="506" customWidth="1"/>
    <col min="10497" max="10497" width="12" style="506" customWidth="1"/>
    <col min="10498" max="10498" width="18.875" style="506" customWidth="1"/>
    <col min="10499" max="10499" width="10.875" style="506" customWidth="1"/>
    <col min="10500" max="10500" width="16.25" style="506" bestFit="1" customWidth="1"/>
    <col min="10501" max="10501" width="12.375" style="506" bestFit="1" customWidth="1"/>
    <col min="10502" max="10502" width="10.875" style="506" customWidth="1"/>
    <col min="10503" max="10503" width="10" style="506" customWidth="1"/>
    <col min="10504" max="10504" width="17.5" style="506" customWidth="1"/>
    <col min="10505" max="10505" width="10.875" style="506" customWidth="1"/>
    <col min="10506" max="10506" width="16" style="506" customWidth="1"/>
    <col min="10507" max="10507" width="12.375" style="506" bestFit="1" customWidth="1"/>
    <col min="10508" max="10724" width="11" style="506"/>
    <col min="10725" max="10725" width="32.75" style="506" customWidth="1"/>
    <col min="10726" max="10726" width="14.5" style="506" customWidth="1"/>
    <col min="10727" max="10727" width="15.625" style="506" bestFit="1" customWidth="1"/>
    <col min="10728" max="10728" width="15.5" style="506" customWidth="1"/>
    <col min="10729" max="10729" width="15.625" style="506" customWidth="1"/>
    <col min="10730" max="10730" width="15.625" style="506" bestFit="1" customWidth="1"/>
    <col min="10731" max="10731" width="15.875" style="506" customWidth="1"/>
    <col min="10732" max="10732" width="14.875" style="506" customWidth="1"/>
    <col min="10733" max="10733" width="14.5" style="506" customWidth="1"/>
    <col min="10734" max="10734" width="15.875" style="506" customWidth="1"/>
    <col min="10735" max="10735" width="12" style="506" bestFit="1" customWidth="1"/>
    <col min="10736" max="10736" width="18.625" style="506" customWidth="1"/>
    <col min="10737" max="10737" width="15.125" style="506" customWidth="1"/>
    <col min="10738" max="10738" width="15.625" style="506" bestFit="1" customWidth="1"/>
    <col min="10739" max="10739" width="16.375" style="506" customWidth="1"/>
    <col min="10740" max="10740" width="13.875" style="506" customWidth="1"/>
    <col min="10741" max="10741" width="18.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75" style="506" customWidth="1"/>
    <col min="10746" max="10746" width="10.875" style="506" customWidth="1"/>
    <col min="10747" max="10747" width="10" style="506" customWidth="1"/>
    <col min="10748" max="10748" width="17.375" style="506" customWidth="1"/>
    <col min="10749" max="10749" width="10.875" style="506" customWidth="1"/>
    <col min="10750" max="10750" width="10" style="506" customWidth="1"/>
    <col min="10751" max="10751" width="16.125" style="506" customWidth="1"/>
    <col min="10752" max="10752" width="10.875" style="506" customWidth="1"/>
    <col min="10753" max="10753" width="12" style="506" customWidth="1"/>
    <col min="10754" max="10754" width="18.875" style="506" customWidth="1"/>
    <col min="10755" max="10755" width="10.875" style="506" customWidth="1"/>
    <col min="10756" max="10756" width="16.25" style="506" bestFit="1" customWidth="1"/>
    <col min="10757" max="10757" width="12.375" style="506" bestFit="1" customWidth="1"/>
    <col min="10758" max="10758" width="10.875" style="506" customWidth="1"/>
    <col min="10759" max="10759" width="10" style="506" customWidth="1"/>
    <col min="10760" max="10760" width="17.5" style="506" customWidth="1"/>
    <col min="10761" max="10761" width="10.875" style="506" customWidth="1"/>
    <col min="10762" max="10762" width="16" style="506" customWidth="1"/>
    <col min="10763" max="10763" width="12.375" style="506" bestFit="1" customWidth="1"/>
    <col min="10764" max="10980" width="11" style="506"/>
    <col min="10981" max="10981" width="32.75" style="506" customWidth="1"/>
    <col min="10982" max="10982" width="14.5" style="506" customWidth="1"/>
    <col min="10983" max="10983" width="15.625" style="506" bestFit="1" customWidth="1"/>
    <col min="10984" max="10984" width="15.5" style="506" customWidth="1"/>
    <col min="10985" max="10985" width="15.625" style="506" customWidth="1"/>
    <col min="10986" max="10986" width="15.625" style="506" bestFit="1" customWidth="1"/>
    <col min="10987" max="10987" width="15.875" style="506" customWidth="1"/>
    <col min="10988" max="10988" width="14.875" style="506" customWidth="1"/>
    <col min="10989" max="10989" width="14.5" style="506" customWidth="1"/>
    <col min="10990" max="10990" width="15.875" style="506" customWidth="1"/>
    <col min="10991" max="10991" width="12" style="506" bestFit="1" customWidth="1"/>
    <col min="10992" max="10992" width="18.625" style="506" customWidth="1"/>
    <col min="10993" max="10993" width="15.125" style="506" customWidth="1"/>
    <col min="10994" max="10994" width="15.625" style="506" bestFit="1" customWidth="1"/>
    <col min="10995" max="10995" width="16.375" style="506" customWidth="1"/>
    <col min="10996" max="10996" width="13.875" style="506" customWidth="1"/>
    <col min="10997" max="10997" width="18.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75" style="506" customWidth="1"/>
    <col min="11002" max="11002" width="10.875" style="506" customWidth="1"/>
    <col min="11003" max="11003" width="10" style="506" customWidth="1"/>
    <col min="11004" max="11004" width="17.375" style="506" customWidth="1"/>
    <col min="11005" max="11005" width="10.875" style="506" customWidth="1"/>
    <col min="11006" max="11006" width="10" style="506" customWidth="1"/>
    <col min="11007" max="11007" width="16.125" style="506" customWidth="1"/>
    <col min="11008" max="11008" width="10.875" style="506" customWidth="1"/>
    <col min="11009" max="11009" width="12" style="506" customWidth="1"/>
    <col min="11010" max="11010" width="18.875" style="506" customWidth="1"/>
    <col min="11011" max="11011" width="10.875" style="506" customWidth="1"/>
    <col min="11012" max="11012" width="16.25" style="506" bestFit="1" customWidth="1"/>
    <col min="11013" max="11013" width="12.375" style="506" bestFit="1" customWidth="1"/>
    <col min="11014" max="11014" width="10.875" style="506" customWidth="1"/>
    <col min="11015" max="11015" width="10" style="506" customWidth="1"/>
    <col min="11016" max="11016" width="17.5" style="506" customWidth="1"/>
    <col min="11017" max="11017" width="10.875" style="506" customWidth="1"/>
    <col min="11018" max="11018" width="16" style="506" customWidth="1"/>
    <col min="11019" max="11019" width="12.375" style="506" bestFit="1" customWidth="1"/>
    <col min="11020" max="11236" width="11" style="506"/>
    <col min="11237" max="11237" width="32.75" style="506" customWidth="1"/>
    <col min="11238" max="11238" width="14.5" style="506" customWidth="1"/>
    <col min="11239" max="11239" width="15.625" style="506" bestFit="1" customWidth="1"/>
    <col min="11240" max="11240" width="15.5" style="506" customWidth="1"/>
    <col min="11241" max="11241" width="15.625" style="506" customWidth="1"/>
    <col min="11242" max="11242" width="15.625" style="506" bestFit="1" customWidth="1"/>
    <col min="11243" max="11243" width="15.875" style="506" customWidth="1"/>
    <col min="11244" max="11244" width="14.875" style="506" customWidth="1"/>
    <col min="11245" max="11245" width="14.5" style="506" customWidth="1"/>
    <col min="11246" max="11246" width="15.875" style="506" customWidth="1"/>
    <col min="11247" max="11247" width="12" style="506" bestFit="1" customWidth="1"/>
    <col min="11248" max="11248" width="18.625" style="506" customWidth="1"/>
    <col min="11249" max="11249" width="15.125" style="506" customWidth="1"/>
    <col min="11250" max="11250" width="15.625" style="506" bestFit="1" customWidth="1"/>
    <col min="11251" max="11251" width="16.375" style="506" customWidth="1"/>
    <col min="11252" max="11252" width="13.875" style="506" customWidth="1"/>
    <col min="11253" max="11253" width="18.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75" style="506" customWidth="1"/>
    <col min="11258" max="11258" width="10.875" style="506" customWidth="1"/>
    <col min="11259" max="11259" width="10" style="506" customWidth="1"/>
    <col min="11260" max="11260" width="17.375" style="506" customWidth="1"/>
    <col min="11261" max="11261" width="10.875" style="506" customWidth="1"/>
    <col min="11262" max="11262" width="10" style="506" customWidth="1"/>
    <col min="11263" max="11263" width="16.125" style="506" customWidth="1"/>
    <col min="11264" max="11264" width="10.875" style="506" customWidth="1"/>
    <col min="11265" max="11265" width="12" style="506" customWidth="1"/>
    <col min="11266" max="11266" width="18.875" style="506" customWidth="1"/>
    <col min="11267" max="11267" width="10.875" style="506" customWidth="1"/>
    <col min="11268" max="11268" width="16.25" style="506" bestFit="1" customWidth="1"/>
    <col min="11269" max="11269" width="12.375" style="506" bestFit="1" customWidth="1"/>
    <col min="11270" max="11270" width="10.875" style="506" customWidth="1"/>
    <col min="11271" max="11271" width="10" style="506" customWidth="1"/>
    <col min="11272" max="11272" width="17.5" style="506" customWidth="1"/>
    <col min="11273" max="11273" width="10.875" style="506" customWidth="1"/>
    <col min="11274" max="11274" width="16" style="506" customWidth="1"/>
    <col min="11275" max="11275" width="12.375" style="506" bestFit="1" customWidth="1"/>
    <col min="11276" max="11492" width="11" style="506"/>
    <col min="11493" max="11493" width="32.75" style="506" customWidth="1"/>
    <col min="11494" max="11494" width="14.5" style="506" customWidth="1"/>
    <col min="11495" max="11495" width="15.625" style="506" bestFit="1" customWidth="1"/>
    <col min="11496" max="11496" width="15.5" style="506" customWidth="1"/>
    <col min="11497" max="11497" width="15.625" style="506" customWidth="1"/>
    <col min="11498" max="11498" width="15.625" style="506" bestFit="1" customWidth="1"/>
    <col min="11499" max="11499" width="15.875" style="506" customWidth="1"/>
    <col min="11500" max="11500" width="14.875" style="506" customWidth="1"/>
    <col min="11501" max="11501" width="14.5" style="506" customWidth="1"/>
    <col min="11502" max="11502" width="15.875" style="506" customWidth="1"/>
    <col min="11503" max="11503" width="12" style="506" bestFit="1" customWidth="1"/>
    <col min="11504" max="11504" width="18.625" style="506" customWidth="1"/>
    <col min="11505" max="11505" width="15.125" style="506" customWidth="1"/>
    <col min="11506" max="11506" width="15.625" style="506" bestFit="1" customWidth="1"/>
    <col min="11507" max="11507" width="16.375" style="506" customWidth="1"/>
    <col min="11508" max="11508" width="13.875" style="506" customWidth="1"/>
    <col min="11509" max="11509" width="18.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75" style="506" customWidth="1"/>
    <col min="11514" max="11514" width="10.875" style="506" customWidth="1"/>
    <col min="11515" max="11515" width="10" style="506" customWidth="1"/>
    <col min="11516" max="11516" width="17.375" style="506" customWidth="1"/>
    <col min="11517" max="11517" width="10.875" style="506" customWidth="1"/>
    <col min="11518" max="11518" width="10" style="506" customWidth="1"/>
    <col min="11519" max="11519" width="16.125" style="506" customWidth="1"/>
    <col min="11520" max="11520" width="10.875" style="506" customWidth="1"/>
    <col min="11521" max="11521" width="12" style="506" customWidth="1"/>
    <col min="11522" max="11522" width="18.875" style="506" customWidth="1"/>
    <col min="11523" max="11523" width="10.875" style="506" customWidth="1"/>
    <col min="11524" max="11524" width="16.25" style="506" bestFit="1" customWidth="1"/>
    <col min="11525" max="11525" width="12.375" style="506" bestFit="1" customWidth="1"/>
    <col min="11526" max="11526" width="10.875" style="506" customWidth="1"/>
    <col min="11527" max="11527" width="10" style="506" customWidth="1"/>
    <col min="11528" max="11528" width="17.5" style="506" customWidth="1"/>
    <col min="11529" max="11529" width="10.875" style="506" customWidth="1"/>
    <col min="11530" max="11530" width="16" style="506" customWidth="1"/>
    <col min="11531" max="11531" width="12.375" style="506" bestFit="1" customWidth="1"/>
    <col min="11532" max="11748" width="11" style="506"/>
    <col min="11749" max="11749" width="32.75" style="506" customWidth="1"/>
    <col min="11750" max="11750" width="14.5" style="506" customWidth="1"/>
    <col min="11751" max="11751" width="15.625" style="506" bestFit="1" customWidth="1"/>
    <col min="11752" max="11752" width="15.5" style="506" customWidth="1"/>
    <col min="11753" max="11753" width="15.625" style="506" customWidth="1"/>
    <col min="11754" max="11754" width="15.625" style="506" bestFit="1" customWidth="1"/>
    <col min="11755" max="11755" width="15.875" style="506" customWidth="1"/>
    <col min="11756" max="11756" width="14.875" style="506" customWidth="1"/>
    <col min="11757" max="11757" width="14.5" style="506" customWidth="1"/>
    <col min="11758" max="11758" width="15.875" style="506" customWidth="1"/>
    <col min="11759" max="11759" width="12" style="506" bestFit="1" customWidth="1"/>
    <col min="11760" max="11760" width="18.625" style="506" customWidth="1"/>
    <col min="11761" max="11761" width="15.125" style="506" customWidth="1"/>
    <col min="11762" max="11762" width="15.625" style="506" bestFit="1" customWidth="1"/>
    <col min="11763" max="11763" width="16.375" style="506" customWidth="1"/>
    <col min="11764" max="11764" width="13.875" style="506" customWidth="1"/>
    <col min="11765" max="11765" width="18.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75" style="506" customWidth="1"/>
    <col min="11770" max="11770" width="10.875" style="506" customWidth="1"/>
    <col min="11771" max="11771" width="10" style="506" customWidth="1"/>
    <col min="11772" max="11772" width="17.375" style="506" customWidth="1"/>
    <col min="11773" max="11773" width="10.875" style="506" customWidth="1"/>
    <col min="11774" max="11774" width="10" style="506" customWidth="1"/>
    <col min="11775" max="11775" width="16.125" style="506" customWidth="1"/>
    <col min="11776" max="11776" width="10.875" style="506" customWidth="1"/>
    <col min="11777" max="11777" width="12" style="506" customWidth="1"/>
    <col min="11778" max="11778" width="18.875" style="506" customWidth="1"/>
    <col min="11779" max="11779" width="10.875" style="506" customWidth="1"/>
    <col min="11780" max="11780" width="16.25" style="506" bestFit="1" customWidth="1"/>
    <col min="11781" max="11781" width="12.375" style="506" bestFit="1" customWidth="1"/>
    <col min="11782" max="11782" width="10.875" style="506" customWidth="1"/>
    <col min="11783" max="11783" width="10" style="506" customWidth="1"/>
    <col min="11784" max="11784" width="17.5" style="506" customWidth="1"/>
    <col min="11785" max="11785" width="10.875" style="506" customWidth="1"/>
    <col min="11786" max="11786" width="16" style="506" customWidth="1"/>
    <col min="11787" max="11787" width="12.375" style="506" bestFit="1" customWidth="1"/>
    <col min="11788" max="12004" width="11" style="506"/>
    <col min="12005" max="12005" width="32.75" style="506" customWidth="1"/>
    <col min="12006" max="12006" width="14.5" style="506" customWidth="1"/>
    <col min="12007" max="12007" width="15.625" style="506" bestFit="1" customWidth="1"/>
    <col min="12008" max="12008" width="15.5" style="506" customWidth="1"/>
    <col min="12009" max="12009" width="15.625" style="506" customWidth="1"/>
    <col min="12010" max="12010" width="15.625" style="506" bestFit="1" customWidth="1"/>
    <col min="12011" max="12011" width="15.875" style="506" customWidth="1"/>
    <col min="12012" max="12012" width="14.875" style="506" customWidth="1"/>
    <col min="12013" max="12013" width="14.5" style="506" customWidth="1"/>
    <col min="12014" max="12014" width="15.875" style="506" customWidth="1"/>
    <col min="12015" max="12015" width="12" style="506" bestFit="1" customWidth="1"/>
    <col min="12016" max="12016" width="18.625" style="506" customWidth="1"/>
    <col min="12017" max="12017" width="15.125" style="506" customWidth="1"/>
    <col min="12018" max="12018" width="15.625" style="506" bestFit="1" customWidth="1"/>
    <col min="12019" max="12019" width="16.375" style="506" customWidth="1"/>
    <col min="12020" max="12020" width="13.875" style="506" customWidth="1"/>
    <col min="12021" max="12021" width="18.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75" style="506" customWidth="1"/>
    <col min="12026" max="12026" width="10.875" style="506" customWidth="1"/>
    <col min="12027" max="12027" width="10" style="506" customWidth="1"/>
    <col min="12028" max="12028" width="17.375" style="506" customWidth="1"/>
    <col min="12029" max="12029" width="10.875" style="506" customWidth="1"/>
    <col min="12030" max="12030" width="10" style="506" customWidth="1"/>
    <col min="12031" max="12031" width="16.125" style="506" customWidth="1"/>
    <col min="12032" max="12032" width="10.875" style="506" customWidth="1"/>
    <col min="12033" max="12033" width="12" style="506" customWidth="1"/>
    <col min="12034" max="12034" width="18.875" style="506" customWidth="1"/>
    <col min="12035" max="12035" width="10.875" style="506" customWidth="1"/>
    <col min="12036" max="12036" width="16.25" style="506" bestFit="1" customWidth="1"/>
    <col min="12037" max="12037" width="12.375" style="506" bestFit="1" customWidth="1"/>
    <col min="12038" max="12038" width="10.875" style="506" customWidth="1"/>
    <col min="12039" max="12039" width="10" style="506" customWidth="1"/>
    <col min="12040" max="12040" width="17.5" style="506" customWidth="1"/>
    <col min="12041" max="12041" width="10.875" style="506" customWidth="1"/>
    <col min="12042" max="12042" width="16" style="506" customWidth="1"/>
    <col min="12043" max="12043" width="12.375" style="506" bestFit="1" customWidth="1"/>
    <col min="12044" max="12260" width="11" style="506"/>
    <col min="12261" max="12261" width="32.75" style="506" customWidth="1"/>
    <col min="12262" max="12262" width="14.5" style="506" customWidth="1"/>
    <col min="12263" max="12263" width="15.625" style="506" bestFit="1" customWidth="1"/>
    <col min="12264" max="12264" width="15.5" style="506" customWidth="1"/>
    <col min="12265" max="12265" width="15.625" style="506" customWidth="1"/>
    <col min="12266" max="12266" width="15.625" style="506" bestFit="1" customWidth="1"/>
    <col min="12267" max="12267" width="15.875" style="506" customWidth="1"/>
    <col min="12268" max="12268" width="14.875" style="506" customWidth="1"/>
    <col min="12269" max="12269" width="14.5" style="506" customWidth="1"/>
    <col min="12270" max="12270" width="15.875" style="506" customWidth="1"/>
    <col min="12271" max="12271" width="12" style="506" bestFit="1" customWidth="1"/>
    <col min="12272" max="12272" width="18.625" style="506" customWidth="1"/>
    <col min="12273" max="12273" width="15.125" style="506" customWidth="1"/>
    <col min="12274" max="12274" width="15.625" style="506" bestFit="1" customWidth="1"/>
    <col min="12275" max="12275" width="16.375" style="506" customWidth="1"/>
    <col min="12276" max="12276" width="13.875" style="506" customWidth="1"/>
    <col min="12277" max="12277" width="18.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75" style="506" customWidth="1"/>
    <col min="12282" max="12282" width="10.875" style="506" customWidth="1"/>
    <col min="12283" max="12283" width="10" style="506" customWidth="1"/>
    <col min="12284" max="12284" width="17.375" style="506" customWidth="1"/>
    <col min="12285" max="12285" width="10.875" style="506" customWidth="1"/>
    <col min="12286" max="12286" width="10" style="506" customWidth="1"/>
    <col min="12287" max="12287" width="16.125" style="506" customWidth="1"/>
    <col min="12288" max="12288" width="10.875" style="506" customWidth="1"/>
    <col min="12289" max="12289" width="12" style="506" customWidth="1"/>
    <col min="12290" max="12290" width="18.875" style="506" customWidth="1"/>
    <col min="12291" max="12291" width="10.875" style="506" customWidth="1"/>
    <col min="12292" max="12292" width="16.25" style="506" bestFit="1" customWidth="1"/>
    <col min="12293" max="12293" width="12.375" style="506" bestFit="1" customWidth="1"/>
    <col min="12294" max="12294" width="10.875" style="506" customWidth="1"/>
    <col min="12295" max="12295" width="10" style="506" customWidth="1"/>
    <col min="12296" max="12296" width="17.5" style="506" customWidth="1"/>
    <col min="12297" max="12297" width="10.875" style="506" customWidth="1"/>
    <col min="12298" max="12298" width="16" style="506" customWidth="1"/>
    <col min="12299" max="12299" width="12.375" style="506" bestFit="1" customWidth="1"/>
    <col min="12300" max="12516" width="11" style="506"/>
    <col min="12517" max="12517" width="32.75" style="506" customWidth="1"/>
    <col min="12518" max="12518" width="14.5" style="506" customWidth="1"/>
    <col min="12519" max="12519" width="15.625" style="506" bestFit="1" customWidth="1"/>
    <col min="12520" max="12520" width="15.5" style="506" customWidth="1"/>
    <col min="12521" max="12521" width="15.625" style="506" customWidth="1"/>
    <col min="12522" max="12522" width="15.625" style="506" bestFit="1" customWidth="1"/>
    <col min="12523" max="12523" width="15.875" style="506" customWidth="1"/>
    <col min="12524" max="12524" width="14.875" style="506" customWidth="1"/>
    <col min="12525" max="12525" width="14.5" style="506" customWidth="1"/>
    <col min="12526" max="12526" width="15.875" style="506" customWidth="1"/>
    <col min="12527" max="12527" width="12" style="506" bestFit="1" customWidth="1"/>
    <col min="12528" max="12528" width="18.625" style="506" customWidth="1"/>
    <col min="12529" max="12529" width="15.125" style="506" customWidth="1"/>
    <col min="12530" max="12530" width="15.625" style="506" bestFit="1" customWidth="1"/>
    <col min="12531" max="12531" width="16.375" style="506" customWidth="1"/>
    <col min="12532" max="12532" width="13.875" style="506" customWidth="1"/>
    <col min="12533" max="12533" width="18.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75" style="506" customWidth="1"/>
    <col min="12538" max="12538" width="10.875" style="506" customWidth="1"/>
    <col min="12539" max="12539" width="10" style="506" customWidth="1"/>
    <col min="12540" max="12540" width="17.375" style="506" customWidth="1"/>
    <col min="12541" max="12541" width="10.875" style="506" customWidth="1"/>
    <col min="12542" max="12542" width="10" style="506" customWidth="1"/>
    <col min="12543" max="12543" width="16.125" style="506" customWidth="1"/>
    <col min="12544" max="12544" width="10.875" style="506" customWidth="1"/>
    <col min="12545" max="12545" width="12" style="506" customWidth="1"/>
    <col min="12546" max="12546" width="18.875" style="506" customWidth="1"/>
    <col min="12547" max="12547" width="10.875" style="506" customWidth="1"/>
    <col min="12548" max="12548" width="16.25" style="506" bestFit="1" customWidth="1"/>
    <col min="12549" max="12549" width="12.375" style="506" bestFit="1" customWidth="1"/>
    <col min="12550" max="12550" width="10.875" style="506" customWidth="1"/>
    <col min="12551" max="12551" width="10" style="506" customWidth="1"/>
    <col min="12552" max="12552" width="17.5" style="506" customWidth="1"/>
    <col min="12553" max="12553" width="10.875" style="506" customWidth="1"/>
    <col min="12554" max="12554" width="16" style="506" customWidth="1"/>
    <col min="12555" max="12555" width="12.375" style="506" bestFit="1" customWidth="1"/>
    <col min="12556" max="12772" width="11" style="506"/>
    <col min="12773" max="12773" width="32.75" style="506" customWidth="1"/>
    <col min="12774" max="12774" width="14.5" style="506" customWidth="1"/>
    <col min="12775" max="12775" width="15.625" style="506" bestFit="1" customWidth="1"/>
    <col min="12776" max="12776" width="15.5" style="506" customWidth="1"/>
    <col min="12777" max="12777" width="15.625" style="506" customWidth="1"/>
    <col min="12778" max="12778" width="15.625" style="506" bestFit="1" customWidth="1"/>
    <col min="12779" max="12779" width="15.875" style="506" customWidth="1"/>
    <col min="12780" max="12780" width="14.875" style="506" customWidth="1"/>
    <col min="12781" max="12781" width="14.5" style="506" customWidth="1"/>
    <col min="12782" max="12782" width="15.875" style="506" customWidth="1"/>
    <col min="12783" max="12783" width="12" style="506" bestFit="1" customWidth="1"/>
    <col min="12784" max="12784" width="18.625" style="506" customWidth="1"/>
    <col min="12785" max="12785" width="15.125" style="506" customWidth="1"/>
    <col min="12786" max="12786" width="15.625" style="506" bestFit="1" customWidth="1"/>
    <col min="12787" max="12787" width="16.375" style="506" customWidth="1"/>
    <col min="12788" max="12788" width="13.875" style="506" customWidth="1"/>
    <col min="12789" max="12789" width="18.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75" style="506" customWidth="1"/>
    <col min="12794" max="12794" width="10.875" style="506" customWidth="1"/>
    <col min="12795" max="12795" width="10" style="506" customWidth="1"/>
    <col min="12796" max="12796" width="17.375" style="506" customWidth="1"/>
    <col min="12797" max="12797" width="10.875" style="506" customWidth="1"/>
    <col min="12798" max="12798" width="10" style="506" customWidth="1"/>
    <col min="12799" max="12799" width="16.125" style="506" customWidth="1"/>
    <col min="12800" max="12800" width="10.875" style="506" customWidth="1"/>
    <col min="12801" max="12801" width="12" style="506" customWidth="1"/>
    <col min="12802" max="12802" width="18.875" style="506" customWidth="1"/>
    <col min="12803" max="12803" width="10.875" style="506" customWidth="1"/>
    <col min="12804" max="12804" width="16.25" style="506" bestFit="1" customWidth="1"/>
    <col min="12805" max="12805" width="12.375" style="506" bestFit="1" customWidth="1"/>
    <col min="12806" max="12806" width="10.875" style="506" customWidth="1"/>
    <col min="12807" max="12807" width="10" style="506" customWidth="1"/>
    <col min="12808" max="12808" width="17.5" style="506" customWidth="1"/>
    <col min="12809" max="12809" width="10.875" style="506" customWidth="1"/>
    <col min="12810" max="12810" width="16" style="506" customWidth="1"/>
    <col min="12811" max="12811" width="12.375" style="506" bestFit="1" customWidth="1"/>
    <col min="12812" max="13028" width="11" style="506"/>
    <col min="13029" max="13029" width="32.75" style="506" customWidth="1"/>
    <col min="13030" max="13030" width="14.5" style="506" customWidth="1"/>
    <col min="13031" max="13031" width="15.625" style="506" bestFit="1" customWidth="1"/>
    <col min="13032" max="13032" width="15.5" style="506" customWidth="1"/>
    <col min="13033" max="13033" width="15.625" style="506" customWidth="1"/>
    <col min="13034" max="13034" width="15.625" style="506" bestFit="1" customWidth="1"/>
    <col min="13035" max="13035" width="15.875" style="506" customWidth="1"/>
    <col min="13036" max="13036" width="14.875" style="506" customWidth="1"/>
    <col min="13037" max="13037" width="14.5" style="506" customWidth="1"/>
    <col min="13038" max="13038" width="15.875" style="506" customWidth="1"/>
    <col min="13039" max="13039" width="12" style="506" bestFit="1" customWidth="1"/>
    <col min="13040" max="13040" width="18.625" style="506" customWidth="1"/>
    <col min="13041" max="13041" width="15.125" style="506" customWidth="1"/>
    <col min="13042" max="13042" width="15.625" style="506" bestFit="1" customWidth="1"/>
    <col min="13043" max="13043" width="16.375" style="506" customWidth="1"/>
    <col min="13044" max="13044" width="13.875" style="506" customWidth="1"/>
    <col min="13045" max="13045" width="18.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75" style="506" customWidth="1"/>
    <col min="13050" max="13050" width="10.875" style="506" customWidth="1"/>
    <col min="13051" max="13051" width="10" style="506" customWidth="1"/>
    <col min="13052" max="13052" width="17.375" style="506" customWidth="1"/>
    <col min="13053" max="13053" width="10.875" style="506" customWidth="1"/>
    <col min="13054" max="13054" width="10" style="506" customWidth="1"/>
    <col min="13055" max="13055" width="16.125" style="506" customWidth="1"/>
    <col min="13056" max="13056" width="10.875" style="506" customWidth="1"/>
    <col min="13057" max="13057" width="12" style="506" customWidth="1"/>
    <col min="13058" max="13058" width="18.875" style="506" customWidth="1"/>
    <col min="13059" max="13059" width="10.875" style="506" customWidth="1"/>
    <col min="13060" max="13060" width="16.25" style="506" bestFit="1" customWidth="1"/>
    <col min="13061" max="13061" width="12.375" style="506" bestFit="1" customWidth="1"/>
    <col min="13062" max="13062" width="10.875" style="506" customWidth="1"/>
    <col min="13063" max="13063" width="10" style="506" customWidth="1"/>
    <col min="13064" max="13064" width="17.5" style="506" customWidth="1"/>
    <col min="13065" max="13065" width="10.875" style="506" customWidth="1"/>
    <col min="13066" max="13066" width="16" style="506" customWidth="1"/>
    <col min="13067" max="13067" width="12.375" style="506" bestFit="1" customWidth="1"/>
    <col min="13068" max="13284" width="11" style="506"/>
    <col min="13285" max="13285" width="32.75" style="506" customWidth="1"/>
    <col min="13286" max="13286" width="14.5" style="506" customWidth="1"/>
    <col min="13287" max="13287" width="15.625" style="506" bestFit="1" customWidth="1"/>
    <col min="13288" max="13288" width="15.5" style="506" customWidth="1"/>
    <col min="13289" max="13289" width="15.625" style="506" customWidth="1"/>
    <col min="13290" max="13290" width="15.625" style="506" bestFit="1" customWidth="1"/>
    <col min="13291" max="13291" width="15.875" style="506" customWidth="1"/>
    <col min="13292" max="13292" width="14.875" style="506" customWidth="1"/>
    <col min="13293" max="13293" width="14.5" style="506" customWidth="1"/>
    <col min="13294" max="13294" width="15.875" style="506" customWidth="1"/>
    <col min="13295" max="13295" width="12" style="506" bestFit="1" customWidth="1"/>
    <col min="13296" max="13296" width="18.625" style="506" customWidth="1"/>
    <col min="13297" max="13297" width="15.125" style="506" customWidth="1"/>
    <col min="13298" max="13298" width="15.625" style="506" bestFit="1" customWidth="1"/>
    <col min="13299" max="13299" width="16.375" style="506" customWidth="1"/>
    <col min="13300" max="13300" width="13.875" style="506" customWidth="1"/>
    <col min="13301" max="13301" width="18.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75" style="506" customWidth="1"/>
    <col min="13306" max="13306" width="10.875" style="506" customWidth="1"/>
    <col min="13307" max="13307" width="10" style="506" customWidth="1"/>
    <col min="13308" max="13308" width="17.375" style="506" customWidth="1"/>
    <col min="13309" max="13309" width="10.875" style="506" customWidth="1"/>
    <col min="13310" max="13310" width="10" style="506" customWidth="1"/>
    <col min="13311" max="13311" width="16.125" style="506" customWidth="1"/>
    <col min="13312" max="13312" width="10.875" style="506" customWidth="1"/>
    <col min="13313" max="13313" width="12" style="506" customWidth="1"/>
    <col min="13314" max="13314" width="18.875" style="506" customWidth="1"/>
    <col min="13315" max="13315" width="10.875" style="506" customWidth="1"/>
    <col min="13316" max="13316" width="16.25" style="506" bestFit="1" customWidth="1"/>
    <col min="13317" max="13317" width="12.375" style="506" bestFit="1" customWidth="1"/>
    <col min="13318" max="13318" width="10.875" style="506" customWidth="1"/>
    <col min="13319" max="13319" width="10" style="506" customWidth="1"/>
    <col min="13320" max="13320" width="17.5" style="506" customWidth="1"/>
    <col min="13321" max="13321" width="10.875" style="506" customWidth="1"/>
    <col min="13322" max="13322" width="16" style="506" customWidth="1"/>
    <col min="13323" max="13323" width="12.375" style="506" bestFit="1" customWidth="1"/>
    <col min="13324" max="13540" width="11" style="506"/>
    <col min="13541" max="13541" width="32.75" style="506" customWidth="1"/>
    <col min="13542" max="13542" width="14.5" style="506" customWidth="1"/>
    <col min="13543" max="13543" width="15.625" style="506" bestFit="1" customWidth="1"/>
    <col min="13544" max="13544" width="15.5" style="506" customWidth="1"/>
    <col min="13545" max="13545" width="15.625" style="506" customWidth="1"/>
    <col min="13546" max="13546" width="15.625" style="506" bestFit="1" customWidth="1"/>
    <col min="13547" max="13547" width="15.875" style="506" customWidth="1"/>
    <col min="13548" max="13548" width="14.875" style="506" customWidth="1"/>
    <col min="13549" max="13549" width="14.5" style="506" customWidth="1"/>
    <col min="13550" max="13550" width="15.875" style="506" customWidth="1"/>
    <col min="13551" max="13551" width="12" style="506" bestFit="1" customWidth="1"/>
    <col min="13552" max="13552" width="18.625" style="506" customWidth="1"/>
    <col min="13553" max="13553" width="15.125" style="506" customWidth="1"/>
    <col min="13554" max="13554" width="15.625" style="506" bestFit="1" customWidth="1"/>
    <col min="13555" max="13555" width="16.375" style="506" customWidth="1"/>
    <col min="13556" max="13556" width="13.875" style="506" customWidth="1"/>
    <col min="13557" max="13557" width="18.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75" style="506" customWidth="1"/>
    <col min="13562" max="13562" width="10.875" style="506" customWidth="1"/>
    <col min="13563" max="13563" width="10" style="506" customWidth="1"/>
    <col min="13564" max="13564" width="17.375" style="506" customWidth="1"/>
    <col min="13565" max="13565" width="10.875" style="506" customWidth="1"/>
    <col min="13566" max="13566" width="10" style="506" customWidth="1"/>
    <col min="13567" max="13567" width="16.125" style="506" customWidth="1"/>
    <col min="13568" max="13568" width="10.875" style="506" customWidth="1"/>
    <col min="13569" max="13569" width="12" style="506" customWidth="1"/>
    <col min="13570" max="13570" width="18.875" style="506" customWidth="1"/>
    <col min="13571" max="13571" width="10.875" style="506" customWidth="1"/>
    <col min="13572" max="13572" width="16.25" style="506" bestFit="1" customWidth="1"/>
    <col min="13573" max="13573" width="12.375" style="506" bestFit="1" customWidth="1"/>
    <col min="13574" max="13574" width="10.875" style="506" customWidth="1"/>
    <col min="13575" max="13575" width="10" style="506" customWidth="1"/>
    <col min="13576" max="13576" width="17.5" style="506" customWidth="1"/>
    <col min="13577" max="13577" width="10.875" style="506" customWidth="1"/>
    <col min="13578" max="13578" width="16" style="506" customWidth="1"/>
    <col min="13579" max="13579" width="12.375" style="506" bestFit="1" customWidth="1"/>
    <col min="13580" max="13796" width="11" style="506"/>
    <col min="13797" max="13797" width="32.75" style="506" customWidth="1"/>
    <col min="13798" max="13798" width="14.5" style="506" customWidth="1"/>
    <col min="13799" max="13799" width="15.625" style="506" bestFit="1" customWidth="1"/>
    <col min="13800" max="13800" width="15.5" style="506" customWidth="1"/>
    <col min="13801" max="13801" width="15.625" style="506" customWidth="1"/>
    <col min="13802" max="13802" width="15.625" style="506" bestFit="1" customWidth="1"/>
    <col min="13803" max="13803" width="15.875" style="506" customWidth="1"/>
    <col min="13804" max="13804" width="14.875" style="506" customWidth="1"/>
    <col min="13805" max="13805" width="14.5" style="506" customWidth="1"/>
    <col min="13806" max="13806" width="15.875" style="506" customWidth="1"/>
    <col min="13807" max="13807" width="12" style="506" bestFit="1" customWidth="1"/>
    <col min="13808" max="13808" width="18.625" style="506" customWidth="1"/>
    <col min="13809" max="13809" width="15.125" style="506" customWidth="1"/>
    <col min="13810" max="13810" width="15.625" style="506" bestFit="1" customWidth="1"/>
    <col min="13811" max="13811" width="16.375" style="506" customWidth="1"/>
    <col min="13812" max="13812" width="13.875" style="506" customWidth="1"/>
    <col min="13813" max="13813" width="18.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75" style="506" customWidth="1"/>
    <col min="13818" max="13818" width="10.875" style="506" customWidth="1"/>
    <col min="13819" max="13819" width="10" style="506" customWidth="1"/>
    <col min="13820" max="13820" width="17.375" style="506" customWidth="1"/>
    <col min="13821" max="13821" width="10.875" style="506" customWidth="1"/>
    <col min="13822" max="13822" width="10" style="506" customWidth="1"/>
    <col min="13823" max="13823" width="16.125" style="506" customWidth="1"/>
    <col min="13824" max="13824" width="10.875" style="506" customWidth="1"/>
    <col min="13825" max="13825" width="12" style="506" customWidth="1"/>
    <col min="13826" max="13826" width="18.875" style="506" customWidth="1"/>
    <col min="13827" max="13827" width="10.875" style="506" customWidth="1"/>
    <col min="13828" max="13828" width="16.25" style="506" bestFit="1" customWidth="1"/>
    <col min="13829" max="13829" width="12.375" style="506" bestFit="1" customWidth="1"/>
    <col min="13830" max="13830" width="10.875" style="506" customWidth="1"/>
    <col min="13831" max="13831" width="10" style="506" customWidth="1"/>
    <col min="13832" max="13832" width="17.5" style="506" customWidth="1"/>
    <col min="13833" max="13833" width="10.875" style="506" customWidth="1"/>
    <col min="13834" max="13834" width="16" style="506" customWidth="1"/>
    <col min="13835" max="13835" width="12.375" style="506" bestFit="1" customWidth="1"/>
    <col min="13836" max="14052" width="11" style="506"/>
    <col min="14053" max="14053" width="32.75" style="506" customWidth="1"/>
    <col min="14054" max="14054" width="14.5" style="506" customWidth="1"/>
    <col min="14055" max="14055" width="15.625" style="506" bestFit="1" customWidth="1"/>
    <col min="14056" max="14056" width="15.5" style="506" customWidth="1"/>
    <col min="14057" max="14057" width="15.625" style="506" customWidth="1"/>
    <col min="14058" max="14058" width="15.625" style="506" bestFit="1" customWidth="1"/>
    <col min="14059" max="14059" width="15.875" style="506" customWidth="1"/>
    <col min="14060" max="14060" width="14.875" style="506" customWidth="1"/>
    <col min="14061" max="14061" width="14.5" style="506" customWidth="1"/>
    <col min="14062" max="14062" width="15.875" style="506" customWidth="1"/>
    <col min="14063" max="14063" width="12" style="506" bestFit="1" customWidth="1"/>
    <col min="14064" max="14064" width="18.625" style="506" customWidth="1"/>
    <col min="14065" max="14065" width="15.125" style="506" customWidth="1"/>
    <col min="14066" max="14066" width="15.625" style="506" bestFit="1" customWidth="1"/>
    <col min="14067" max="14067" width="16.375" style="506" customWidth="1"/>
    <col min="14068" max="14068" width="13.875" style="506" customWidth="1"/>
    <col min="14069" max="14069" width="18.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75" style="506" customWidth="1"/>
    <col min="14074" max="14074" width="10.875" style="506" customWidth="1"/>
    <col min="14075" max="14075" width="10" style="506" customWidth="1"/>
    <col min="14076" max="14076" width="17.375" style="506" customWidth="1"/>
    <col min="14077" max="14077" width="10.875" style="506" customWidth="1"/>
    <col min="14078" max="14078" width="10" style="506" customWidth="1"/>
    <col min="14079" max="14079" width="16.125" style="506" customWidth="1"/>
    <col min="14080" max="14080" width="10.875" style="506" customWidth="1"/>
    <col min="14081" max="14081" width="12" style="506" customWidth="1"/>
    <col min="14082" max="14082" width="18.875" style="506" customWidth="1"/>
    <col min="14083" max="14083" width="10.875" style="506" customWidth="1"/>
    <col min="14084" max="14084" width="16.25" style="506" bestFit="1" customWidth="1"/>
    <col min="14085" max="14085" width="12.375" style="506" bestFit="1" customWidth="1"/>
    <col min="14086" max="14086" width="10.875" style="506" customWidth="1"/>
    <col min="14087" max="14087" width="10" style="506" customWidth="1"/>
    <col min="14088" max="14088" width="17.5" style="506" customWidth="1"/>
    <col min="14089" max="14089" width="10.875" style="506" customWidth="1"/>
    <col min="14090" max="14090" width="16" style="506" customWidth="1"/>
    <col min="14091" max="14091" width="12.375" style="506" bestFit="1" customWidth="1"/>
    <col min="14092" max="14308" width="11" style="506"/>
    <col min="14309" max="14309" width="32.75" style="506" customWidth="1"/>
    <col min="14310" max="14310" width="14.5" style="506" customWidth="1"/>
    <col min="14311" max="14311" width="15.625" style="506" bestFit="1" customWidth="1"/>
    <col min="14312" max="14312" width="15.5" style="506" customWidth="1"/>
    <col min="14313" max="14313" width="15.625" style="506" customWidth="1"/>
    <col min="14314" max="14314" width="15.625" style="506" bestFit="1" customWidth="1"/>
    <col min="14315" max="14315" width="15.875" style="506" customWidth="1"/>
    <col min="14316" max="14316" width="14.875" style="506" customWidth="1"/>
    <col min="14317" max="14317" width="14.5" style="506" customWidth="1"/>
    <col min="14318" max="14318" width="15.875" style="506" customWidth="1"/>
    <col min="14319" max="14319" width="12" style="506" bestFit="1" customWidth="1"/>
    <col min="14320" max="14320" width="18.625" style="506" customWidth="1"/>
    <col min="14321" max="14321" width="15.125" style="506" customWidth="1"/>
    <col min="14322" max="14322" width="15.625" style="506" bestFit="1" customWidth="1"/>
    <col min="14323" max="14323" width="16.375" style="506" customWidth="1"/>
    <col min="14324" max="14324" width="13.875" style="506" customWidth="1"/>
    <col min="14325" max="14325" width="18.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75" style="506" customWidth="1"/>
    <col min="14330" max="14330" width="10.875" style="506" customWidth="1"/>
    <col min="14331" max="14331" width="10" style="506" customWidth="1"/>
    <col min="14332" max="14332" width="17.375" style="506" customWidth="1"/>
    <col min="14333" max="14333" width="10.875" style="506" customWidth="1"/>
    <col min="14334" max="14334" width="10" style="506" customWidth="1"/>
    <col min="14335" max="14335" width="16.125" style="506" customWidth="1"/>
    <col min="14336" max="14336" width="10.875" style="506" customWidth="1"/>
    <col min="14337" max="14337" width="12" style="506" customWidth="1"/>
    <col min="14338" max="14338" width="18.875" style="506" customWidth="1"/>
    <col min="14339" max="14339" width="10.875" style="506" customWidth="1"/>
    <col min="14340" max="14340" width="16.25" style="506" bestFit="1" customWidth="1"/>
    <col min="14341" max="14341" width="12.375" style="506" bestFit="1" customWidth="1"/>
    <col min="14342" max="14342" width="10.875" style="506" customWidth="1"/>
    <col min="14343" max="14343" width="10" style="506" customWidth="1"/>
    <col min="14344" max="14344" width="17.5" style="506" customWidth="1"/>
    <col min="14345" max="14345" width="10.875" style="506" customWidth="1"/>
    <col min="14346" max="14346" width="16" style="506" customWidth="1"/>
    <col min="14347" max="14347" width="12.375" style="506" bestFit="1" customWidth="1"/>
    <col min="14348" max="14564" width="11" style="506"/>
    <col min="14565" max="14565" width="32.75" style="506" customWidth="1"/>
    <col min="14566" max="14566" width="14.5" style="506" customWidth="1"/>
    <col min="14567" max="14567" width="15.625" style="506" bestFit="1" customWidth="1"/>
    <col min="14568" max="14568" width="15.5" style="506" customWidth="1"/>
    <col min="14569" max="14569" width="15.625" style="506" customWidth="1"/>
    <col min="14570" max="14570" width="15.625" style="506" bestFit="1" customWidth="1"/>
    <col min="14571" max="14571" width="15.875" style="506" customWidth="1"/>
    <col min="14572" max="14572" width="14.875" style="506" customWidth="1"/>
    <col min="14573" max="14573" width="14.5" style="506" customWidth="1"/>
    <col min="14574" max="14574" width="15.875" style="506" customWidth="1"/>
    <col min="14575" max="14575" width="12" style="506" bestFit="1" customWidth="1"/>
    <col min="14576" max="14576" width="18.625" style="506" customWidth="1"/>
    <col min="14577" max="14577" width="15.125" style="506" customWidth="1"/>
    <col min="14578" max="14578" width="15.625" style="506" bestFit="1" customWidth="1"/>
    <col min="14579" max="14579" width="16.375" style="506" customWidth="1"/>
    <col min="14580" max="14580" width="13.875" style="506" customWidth="1"/>
    <col min="14581" max="14581" width="18.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75" style="506" customWidth="1"/>
    <col min="14586" max="14586" width="10.875" style="506" customWidth="1"/>
    <col min="14587" max="14587" width="10" style="506" customWidth="1"/>
    <col min="14588" max="14588" width="17.375" style="506" customWidth="1"/>
    <col min="14589" max="14589" width="10.875" style="506" customWidth="1"/>
    <col min="14590" max="14590" width="10" style="506" customWidth="1"/>
    <col min="14591" max="14591" width="16.125" style="506" customWidth="1"/>
    <col min="14592" max="14592" width="10.875" style="506" customWidth="1"/>
    <col min="14593" max="14593" width="12" style="506" customWidth="1"/>
    <col min="14594" max="14594" width="18.875" style="506" customWidth="1"/>
    <col min="14595" max="14595" width="10.875" style="506" customWidth="1"/>
    <col min="14596" max="14596" width="16.25" style="506" bestFit="1" customWidth="1"/>
    <col min="14597" max="14597" width="12.375" style="506" bestFit="1" customWidth="1"/>
    <col min="14598" max="14598" width="10.875" style="506" customWidth="1"/>
    <col min="14599" max="14599" width="10" style="506" customWidth="1"/>
    <col min="14600" max="14600" width="17.5" style="506" customWidth="1"/>
    <col min="14601" max="14601" width="10.875" style="506" customWidth="1"/>
    <col min="14602" max="14602" width="16" style="506" customWidth="1"/>
    <col min="14603" max="14603" width="12.375" style="506" bestFit="1" customWidth="1"/>
    <col min="14604" max="14820" width="11" style="506"/>
    <col min="14821" max="14821" width="32.75" style="506" customWidth="1"/>
    <col min="14822" max="14822" width="14.5" style="506" customWidth="1"/>
    <col min="14823" max="14823" width="15.625" style="506" bestFit="1" customWidth="1"/>
    <col min="14824" max="14824" width="15.5" style="506" customWidth="1"/>
    <col min="14825" max="14825" width="15.625" style="506" customWidth="1"/>
    <col min="14826" max="14826" width="15.625" style="506" bestFit="1" customWidth="1"/>
    <col min="14827" max="14827" width="15.875" style="506" customWidth="1"/>
    <col min="14828" max="14828" width="14.875" style="506" customWidth="1"/>
    <col min="14829" max="14829" width="14.5" style="506" customWidth="1"/>
    <col min="14830" max="14830" width="15.875" style="506" customWidth="1"/>
    <col min="14831" max="14831" width="12" style="506" bestFit="1" customWidth="1"/>
    <col min="14832" max="14832" width="18.625" style="506" customWidth="1"/>
    <col min="14833" max="14833" width="15.125" style="506" customWidth="1"/>
    <col min="14834" max="14834" width="15.625" style="506" bestFit="1" customWidth="1"/>
    <col min="14835" max="14835" width="16.375" style="506" customWidth="1"/>
    <col min="14836" max="14836" width="13.875" style="506" customWidth="1"/>
    <col min="14837" max="14837" width="18.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75" style="506" customWidth="1"/>
    <col min="14842" max="14842" width="10.875" style="506" customWidth="1"/>
    <col min="14843" max="14843" width="10" style="506" customWidth="1"/>
    <col min="14844" max="14844" width="17.375" style="506" customWidth="1"/>
    <col min="14845" max="14845" width="10.875" style="506" customWidth="1"/>
    <col min="14846" max="14846" width="10" style="506" customWidth="1"/>
    <col min="14847" max="14847" width="16.125" style="506" customWidth="1"/>
    <col min="14848" max="14848" width="10.875" style="506" customWidth="1"/>
    <col min="14849" max="14849" width="12" style="506" customWidth="1"/>
    <col min="14850" max="14850" width="18.875" style="506" customWidth="1"/>
    <col min="14851" max="14851" width="10.875" style="506" customWidth="1"/>
    <col min="14852" max="14852" width="16.25" style="506" bestFit="1" customWidth="1"/>
    <col min="14853" max="14853" width="12.375" style="506" bestFit="1" customWidth="1"/>
    <col min="14854" max="14854" width="10.875" style="506" customWidth="1"/>
    <col min="14855" max="14855" width="10" style="506" customWidth="1"/>
    <col min="14856" max="14856" width="17.5" style="506" customWidth="1"/>
    <col min="14857" max="14857" width="10.875" style="506" customWidth="1"/>
    <col min="14858" max="14858" width="16" style="506" customWidth="1"/>
    <col min="14859" max="14859" width="12.375" style="506" bestFit="1" customWidth="1"/>
    <col min="14860" max="15076" width="11" style="506"/>
    <col min="15077" max="15077" width="32.75" style="506" customWidth="1"/>
    <col min="15078" max="15078" width="14.5" style="506" customWidth="1"/>
    <col min="15079" max="15079" width="15.625" style="506" bestFit="1" customWidth="1"/>
    <col min="15080" max="15080" width="15.5" style="506" customWidth="1"/>
    <col min="15081" max="15081" width="15.625" style="506" customWidth="1"/>
    <col min="15082" max="15082" width="15.625" style="506" bestFit="1" customWidth="1"/>
    <col min="15083" max="15083" width="15.875" style="506" customWidth="1"/>
    <col min="15084" max="15084" width="14.875" style="506" customWidth="1"/>
    <col min="15085" max="15085" width="14.5" style="506" customWidth="1"/>
    <col min="15086" max="15086" width="15.875" style="506" customWidth="1"/>
    <col min="15087" max="15087" width="12" style="506" bestFit="1" customWidth="1"/>
    <col min="15088" max="15088" width="18.625" style="506" customWidth="1"/>
    <col min="15089" max="15089" width="15.125" style="506" customWidth="1"/>
    <col min="15090" max="15090" width="15.625" style="506" bestFit="1" customWidth="1"/>
    <col min="15091" max="15091" width="16.375" style="506" customWidth="1"/>
    <col min="15092" max="15092" width="13.875" style="506" customWidth="1"/>
    <col min="15093" max="15093" width="18.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75" style="506" customWidth="1"/>
    <col min="15098" max="15098" width="10.875" style="506" customWidth="1"/>
    <col min="15099" max="15099" width="10" style="506" customWidth="1"/>
    <col min="15100" max="15100" width="17.375" style="506" customWidth="1"/>
    <col min="15101" max="15101" width="10.875" style="506" customWidth="1"/>
    <col min="15102" max="15102" width="10" style="506" customWidth="1"/>
    <col min="15103" max="15103" width="16.125" style="506" customWidth="1"/>
    <col min="15104" max="15104" width="10.875" style="506" customWidth="1"/>
    <col min="15105" max="15105" width="12" style="506" customWidth="1"/>
    <col min="15106" max="15106" width="18.875" style="506" customWidth="1"/>
    <col min="15107" max="15107" width="10.875" style="506" customWidth="1"/>
    <col min="15108" max="15108" width="16.25" style="506" bestFit="1" customWidth="1"/>
    <col min="15109" max="15109" width="12.375" style="506" bestFit="1" customWidth="1"/>
    <col min="15110" max="15110" width="10.875" style="506" customWidth="1"/>
    <col min="15111" max="15111" width="10" style="506" customWidth="1"/>
    <col min="15112" max="15112" width="17.5" style="506" customWidth="1"/>
    <col min="15113" max="15113" width="10.875" style="506" customWidth="1"/>
    <col min="15114" max="15114" width="16" style="506" customWidth="1"/>
    <col min="15115" max="15115" width="12.375" style="506" bestFit="1" customWidth="1"/>
    <col min="15116" max="15332" width="11" style="506"/>
    <col min="15333" max="15333" width="32.75" style="506" customWidth="1"/>
    <col min="15334" max="15334" width="14.5" style="506" customWidth="1"/>
    <col min="15335" max="15335" width="15.625" style="506" bestFit="1" customWidth="1"/>
    <col min="15336" max="15336" width="15.5" style="506" customWidth="1"/>
    <col min="15337" max="15337" width="15.625" style="506" customWidth="1"/>
    <col min="15338" max="15338" width="15.625" style="506" bestFit="1" customWidth="1"/>
    <col min="15339" max="15339" width="15.875" style="506" customWidth="1"/>
    <col min="15340" max="15340" width="14.875" style="506" customWidth="1"/>
    <col min="15341" max="15341" width="14.5" style="506" customWidth="1"/>
    <col min="15342" max="15342" width="15.875" style="506" customWidth="1"/>
    <col min="15343" max="15343" width="12" style="506" bestFit="1" customWidth="1"/>
    <col min="15344" max="15344" width="18.625" style="506" customWidth="1"/>
    <col min="15345" max="15345" width="15.125" style="506" customWidth="1"/>
    <col min="15346" max="15346" width="15.625" style="506" bestFit="1" customWidth="1"/>
    <col min="15347" max="15347" width="16.375" style="506" customWidth="1"/>
    <col min="15348" max="15348" width="13.875" style="506" customWidth="1"/>
    <col min="15349" max="15349" width="18.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75" style="506" customWidth="1"/>
    <col min="15354" max="15354" width="10.875" style="506" customWidth="1"/>
    <col min="15355" max="15355" width="10" style="506" customWidth="1"/>
    <col min="15356" max="15356" width="17.375" style="506" customWidth="1"/>
    <col min="15357" max="15357" width="10.875" style="506" customWidth="1"/>
    <col min="15358" max="15358" width="10" style="506" customWidth="1"/>
    <col min="15359" max="15359" width="16.125" style="506" customWidth="1"/>
    <col min="15360" max="15360" width="10.875" style="506" customWidth="1"/>
    <col min="15361" max="15361" width="12" style="506" customWidth="1"/>
    <col min="15362" max="15362" width="18.875" style="506" customWidth="1"/>
    <col min="15363" max="15363" width="10.875" style="506" customWidth="1"/>
    <col min="15364" max="15364" width="16.25" style="506" bestFit="1" customWidth="1"/>
    <col min="15365" max="15365" width="12.375" style="506" bestFit="1" customWidth="1"/>
    <col min="15366" max="15366" width="10.875" style="506" customWidth="1"/>
    <col min="15367" max="15367" width="10" style="506" customWidth="1"/>
    <col min="15368" max="15368" width="17.5" style="506" customWidth="1"/>
    <col min="15369" max="15369" width="10.875" style="506" customWidth="1"/>
    <col min="15370" max="15370" width="16" style="506" customWidth="1"/>
    <col min="15371" max="15371" width="12.375" style="506" bestFit="1" customWidth="1"/>
    <col min="15372" max="15588" width="11" style="506"/>
    <col min="15589" max="15589" width="32.75" style="506" customWidth="1"/>
    <col min="15590" max="15590" width="14.5" style="506" customWidth="1"/>
    <col min="15591" max="15591" width="15.625" style="506" bestFit="1" customWidth="1"/>
    <col min="15592" max="15592" width="15.5" style="506" customWidth="1"/>
    <col min="15593" max="15593" width="15.625" style="506" customWidth="1"/>
    <col min="15594" max="15594" width="15.625" style="506" bestFit="1" customWidth="1"/>
    <col min="15595" max="15595" width="15.875" style="506" customWidth="1"/>
    <col min="15596" max="15596" width="14.875" style="506" customWidth="1"/>
    <col min="15597" max="15597" width="14.5" style="506" customWidth="1"/>
    <col min="15598" max="15598" width="15.875" style="506" customWidth="1"/>
    <col min="15599" max="15599" width="12" style="506" bestFit="1" customWidth="1"/>
    <col min="15600" max="15600" width="18.625" style="506" customWidth="1"/>
    <col min="15601" max="15601" width="15.125" style="506" customWidth="1"/>
    <col min="15602" max="15602" width="15.625" style="506" bestFit="1" customWidth="1"/>
    <col min="15603" max="15603" width="16.375" style="506" customWidth="1"/>
    <col min="15604" max="15604" width="13.875" style="506" customWidth="1"/>
    <col min="15605" max="15605" width="18.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75" style="506" customWidth="1"/>
    <col min="15610" max="15610" width="10.875" style="506" customWidth="1"/>
    <col min="15611" max="15611" width="10" style="506" customWidth="1"/>
    <col min="15612" max="15612" width="17.375" style="506" customWidth="1"/>
    <col min="15613" max="15613" width="10.875" style="506" customWidth="1"/>
    <col min="15614" max="15614" width="10" style="506" customWidth="1"/>
    <col min="15615" max="15615" width="16.125" style="506" customWidth="1"/>
    <col min="15616" max="15616" width="10.875" style="506" customWidth="1"/>
    <col min="15617" max="15617" width="12" style="506" customWidth="1"/>
    <col min="15618" max="15618" width="18.875" style="506" customWidth="1"/>
    <col min="15619" max="15619" width="10.875" style="506" customWidth="1"/>
    <col min="15620" max="15620" width="16.25" style="506" bestFit="1" customWidth="1"/>
    <col min="15621" max="15621" width="12.375" style="506" bestFit="1" customWidth="1"/>
    <col min="15622" max="15622" width="10.875" style="506" customWidth="1"/>
    <col min="15623" max="15623" width="10" style="506" customWidth="1"/>
    <col min="15624" max="15624" width="17.5" style="506" customWidth="1"/>
    <col min="15625" max="15625" width="10.875" style="506" customWidth="1"/>
    <col min="15626" max="15626" width="16" style="506" customWidth="1"/>
    <col min="15627" max="15627" width="12.375" style="506" bestFit="1" customWidth="1"/>
    <col min="15628" max="15844" width="11" style="506"/>
    <col min="15845" max="15845" width="32.75" style="506" customWidth="1"/>
    <col min="15846" max="15846" width="14.5" style="506" customWidth="1"/>
    <col min="15847" max="15847" width="15.625" style="506" bestFit="1" customWidth="1"/>
    <col min="15848" max="15848" width="15.5" style="506" customWidth="1"/>
    <col min="15849" max="15849" width="15.625" style="506" customWidth="1"/>
    <col min="15850" max="15850" width="15.625" style="506" bestFit="1" customWidth="1"/>
    <col min="15851" max="15851" width="15.875" style="506" customWidth="1"/>
    <col min="15852" max="15852" width="14.875" style="506" customWidth="1"/>
    <col min="15853" max="15853" width="14.5" style="506" customWidth="1"/>
    <col min="15854" max="15854" width="15.875" style="506" customWidth="1"/>
    <col min="15855" max="15855" width="12" style="506" bestFit="1" customWidth="1"/>
    <col min="15856" max="15856" width="18.625" style="506" customWidth="1"/>
    <col min="15857" max="15857" width="15.125" style="506" customWidth="1"/>
    <col min="15858" max="15858" width="15.625" style="506" bestFit="1" customWidth="1"/>
    <col min="15859" max="15859" width="16.375" style="506" customWidth="1"/>
    <col min="15860" max="15860" width="13.875" style="506" customWidth="1"/>
    <col min="15861" max="15861" width="18.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75" style="506" customWidth="1"/>
    <col min="15866" max="15866" width="10.875" style="506" customWidth="1"/>
    <col min="15867" max="15867" width="10" style="506" customWidth="1"/>
    <col min="15868" max="15868" width="17.375" style="506" customWidth="1"/>
    <col min="15869" max="15869" width="10.875" style="506" customWidth="1"/>
    <col min="15870" max="15870" width="10" style="506" customWidth="1"/>
    <col min="15871" max="15871" width="16.125" style="506" customWidth="1"/>
    <col min="15872" max="15872" width="10.875" style="506" customWidth="1"/>
    <col min="15873" max="15873" width="12" style="506" customWidth="1"/>
    <col min="15874" max="15874" width="18.875" style="506" customWidth="1"/>
    <col min="15875" max="15875" width="10.875" style="506" customWidth="1"/>
    <col min="15876" max="15876" width="16.25" style="506" bestFit="1" customWidth="1"/>
    <col min="15877" max="15877" width="12.375" style="506" bestFit="1" customWidth="1"/>
    <col min="15878" max="15878" width="10.875" style="506" customWidth="1"/>
    <col min="15879" max="15879" width="10" style="506" customWidth="1"/>
    <col min="15880" max="15880" width="17.5" style="506" customWidth="1"/>
    <col min="15881" max="15881" width="10.875" style="506" customWidth="1"/>
    <col min="15882" max="15882" width="16" style="506" customWidth="1"/>
    <col min="15883" max="15883" width="12.375" style="506" bestFit="1" customWidth="1"/>
    <col min="15884" max="16100" width="11" style="506"/>
    <col min="16101" max="16101" width="32.75" style="506" customWidth="1"/>
    <col min="16102" max="16102" width="14.5" style="506" customWidth="1"/>
    <col min="16103" max="16103" width="15.625" style="506" bestFit="1" customWidth="1"/>
    <col min="16104" max="16104" width="15.5" style="506" customWidth="1"/>
    <col min="16105" max="16105" width="15.625" style="506" customWidth="1"/>
    <col min="16106" max="16106" width="15.625" style="506" bestFit="1" customWidth="1"/>
    <col min="16107" max="16107" width="15.875" style="506" customWidth="1"/>
    <col min="16108" max="16108" width="14.875" style="506" customWidth="1"/>
    <col min="16109" max="16109" width="14.5" style="506" customWidth="1"/>
    <col min="16110" max="16110" width="15.875" style="506" customWidth="1"/>
    <col min="16111" max="16111" width="12" style="506" bestFit="1" customWidth="1"/>
    <col min="16112" max="16112" width="18.625" style="506" customWidth="1"/>
    <col min="16113" max="16113" width="15.125" style="506" customWidth="1"/>
    <col min="16114" max="16114" width="15.625" style="506" bestFit="1" customWidth="1"/>
    <col min="16115" max="16115" width="16.375" style="506" customWidth="1"/>
    <col min="16116" max="16116" width="13.875" style="506" customWidth="1"/>
    <col min="16117" max="16117" width="18.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75" style="506" customWidth="1"/>
    <col min="16122" max="16122" width="10.875" style="506" customWidth="1"/>
    <col min="16123" max="16123" width="10" style="506" customWidth="1"/>
    <col min="16124" max="16124" width="17.375" style="506" customWidth="1"/>
    <col min="16125" max="16125" width="10.875" style="506" customWidth="1"/>
    <col min="16126" max="16126" width="10" style="506" customWidth="1"/>
    <col min="16127" max="16127" width="16.125" style="506" customWidth="1"/>
    <col min="16128" max="16128" width="10.875" style="506" customWidth="1"/>
    <col min="16129" max="16129" width="12" style="506" customWidth="1"/>
    <col min="16130" max="16130" width="18.875" style="506" customWidth="1"/>
    <col min="16131" max="16131" width="10.875" style="506" customWidth="1"/>
    <col min="16132" max="16132" width="16.25" style="506" bestFit="1" customWidth="1"/>
    <col min="16133" max="16133" width="12.375" style="506" bestFit="1" customWidth="1"/>
    <col min="16134" max="16134" width="10.875" style="506" customWidth="1"/>
    <col min="16135" max="16135" width="10" style="506" customWidth="1"/>
    <col min="16136" max="16136" width="17.5" style="506" customWidth="1"/>
    <col min="16137" max="16137" width="10.875" style="506" customWidth="1"/>
    <col min="16138" max="16138" width="16" style="506" customWidth="1"/>
    <col min="16139" max="16139" width="12.375" style="506" bestFit="1" customWidth="1"/>
    <col min="16140" max="16384" width="11" style="506"/>
  </cols>
  <sheetData>
    <row r="1" spans="1:219" ht="41.25" customHeight="1">
      <c r="B1" s="1277" t="str">
        <f>"Budget 2023 Mensuel"&amp;" "&amp;Parametres!$B$1</f>
        <v>Budget 2023 Mensuel BMW Sherbrooke</v>
      </c>
      <c r="C1" s="1277"/>
      <c r="D1" s="1277"/>
      <c r="E1" s="1277"/>
      <c r="F1" s="1277"/>
      <c r="G1" s="1277"/>
      <c r="H1" s="1277"/>
      <c r="I1" s="1277"/>
      <c r="J1" s="1277"/>
      <c r="K1" s="1277"/>
      <c r="L1" s="1277"/>
      <c r="M1" s="1277"/>
      <c r="N1" s="1277"/>
      <c r="O1" s="1277"/>
      <c r="P1" s="1277"/>
      <c r="Q1" s="1277"/>
      <c r="R1" s="1277"/>
      <c r="S1" s="1277"/>
      <c r="T1" s="1277"/>
      <c r="U1" s="1277"/>
      <c r="V1" s="1277"/>
      <c r="W1" s="1277"/>
      <c r="X1" s="1277"/>
      <c r="Y1" s="1277"/>
      <c r="Z1" s="1277"/>
      <c r="AA1" s="1277"/>
      <c r="AB1" s="1277"/>
      <c r="AC1" s="1277"/>
      <c r="AD1" s="1277"/>
      <c r="AE1" s="1277"/>
      <c r="AF1" s="1277"/>
      <c r="AG1" s="1277"/>
      <c r="AH1" s="1277"/>
      <c r="AI1" s="1277"/>
      <c r="AJ1" s="1277"/>
      <c r="AK1" s="1277"/>
      <c r="AL1" s="1277"/>
      <c r="AM1" s="1277"/>
      <c r="AN1" s="1277"/>
      <c r="AO1" s="1277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/>
      </c>
      <c r="AH2" s="538" t="str">
        <f>+IF(Parametres!$B$3=AG$6,"O","")</f>
        <v/>
      </c>
      <c r="AI2" s="538" t="str">
        <f>+IF(Parametres!$B$3=AG$6,"U","")</f>
        <v/>
      </c>
      <c r="AJ2" s="538" t="str">
        <f>+IF(Parametres!$B$3=AJ$6,"X","")</f>
        <v/>
      </c>
      <c r="AK2" s="538" t="str">
        <f>+IF(Parametres!$B$3=AJ$6,"O","")</f>
        <v/>
      </c>
      <c r="AL2" s="538" t="str">
        <f>+IF(Parametres!$B$3=AJ$6,"U","")</f>
        <v/>
      </c>
      <c r="AM2" s="538" t="str">
        <f>+IF(Parametres!$B$3=AM$6,"X","")</f>
        <v>X</v>
      </c>
      <c r="AN2" s="538" t="str">
        <f>+IF(Parametres!$B$3=AM$6,"O","")</f>
        <v>O</v>
      </c>
      <c r="AO2" s="538" t="str">
        <f>+IF(Parametres!$B$3=AM$6,"U","")</f>
        <v>U</v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>X</v>
      </c>
      <c r="AK3" s="507" t="str">
        <f>+IF(VLOOKUP(AJ$6,Parametres!$K$3:$N$14,4,0)="X","O","")</f>
        <v>O</v>
      </c>
      <c r="AL3" s="507" t="str">
        <f>+IF(VLOOKUP(AJ$6,Parametres!$K$3:$N$14,4,0)="X","U","")</f>
        <v>U</v>
      </c>
      <c r="AM3" s="507" t="str">
        <f>+IF(VLOOKUP(AM$6,Parametres!$K$3:$N$14,4,0)="X","X","")</f>
        <v>X</v>
      </c>
      <c r="AN3" s="507" t="str">
        <f>+IF(VLOOKUP(AM$6,Parametres!$K$3:$N$14,4,0)="X","O","")</f>
        <v>O</v>
      </c>
      <c r="AO3" s="507" t="str">
        <f>+IF(VLOOKUP(AM$6,Parametres!$K$3:$N$14,4,0)="X","U","")</f>
        <v>U</v>
      </c>
    </row>
    <row r="4" spans="1:219" s="508" customFormat="1" ht="35.25">
      <c r="A4" s="507"/>
      <c r="B4" s="507" t="s">
        <v>2934</v>
      </c>
      <c r="C4" s="1278" t="s">
        <v>75</v>
      </c>
      <c r="D4" s="1278"/>
      <c r="E4" s="1278"/>
      <c r="F4" s="1278"/>
      <c r="G4" s="1278"/>
      <c r="H4" s="1278"/>
      <c r="I4" s="1278"/>
      <c r="J4" s="1278"/>
      <c r="K4" s="1278"/>
      <c r="L4" s="1278"/>
      <c r="M4" s="1278"/>
      <c r="N4" s="1278"/>
      <c r="O4" s="1278"/>
      <c r="P4" s="1278"/>
      <c r="Q4" s="1278"/>
      <c r="R4" s="1278"/>
      <c r="S4" s="1278"/>
      <c r="T4" s="1278"/>
      <c r="U4" s="1278"/>
      <c r="V4" s="1278"/>
      <c r="W4" s="1278"/>
      <c r="X4" s="1278"/>
      <c r="Y4" s="1278"/>
      <c r="Z4" s="1278"/>
      <c r="AA4" s="1278"/>
      <c r="AB4" s="1278"/>
      <c r="AC4" s="1278"/>
      <c r="AD4" s="1278"/>
      <c r="AE4" s="1278"/>
      <c r="AF4" s="1278"/>
      <c r="AG4" s="1278"/>
      <c r="AH4" s="1278"/>
      <c r="AI4" s="1278"/>
      <c r="AJ4" s="1278"/>
      <c r="AK4" s="1278"/>
      <c r="AL4" s="1278"/>
      <c r="AM4" s="1278"/>
      <c r="AN4" s="1278"/>
      <c r="AO4" s="1278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" thickTop="1">
      <c r="A6" s="539"/>
      <c r="B6" s="658" t="s">
        <v>293</v>
      </c>
      <c r="C6" s="768">
        <v>2025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25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25">
      <c r="A8" s="540" t="str">
        <f>+$C$4&amp;B8</f>
        <v>Véhicules neufsVentes nettes</v>
      </c>
      <c r="B8" s="610" t="s">
        <v>85</v>
      </c>
      <c r="C8" s="774"/>
      <c r="D8" s="775"/>
      <c r="E8" s="776">
        <v>25300741.999999996</v>
      </c>
      <c r="F8" s="774"/>
      <c r="G8" s="775"/>
      <c r="H8" s="776">
        <v>1392233.5513396894</v>
      </c>
      <c r="I8" s="774"/>
      <c r="J8" s="775"/>
      <c r="K8" s="776">
        <v>1203869.3166235487</v>
      </c>
      <c r="L8" s="774"/>
      <c r="M8" s="775"/>
      <c r="N8" s="776">
        <v>2376592.0282797413</v>
      </c>
      <c r="O8" s="774"/>
      <c r="P8" s="775"/>
      <c r="Q8" s="776">
        <v>3027277.1386981602</v>
      </c>
      <c r="R8" s="774"/>
      <c r="S8" s="775"/>
      <c r="T8" s="776">
        <v>3315725.119754965</v>
      </c>
      <c r="U8" s="774"/>
      <c r="V8" s="775"/>
      <c r="W8" s="776">
        <v>2132666.7331516137</v>
      </c>
      <c r="X8" s="774"/>
      <c r="Y8" s="775"/>
      <c r="Z8" s="776">
        <v>1576929.8805812243</v>
      </c>
      <c r="AA8" s="774"/>
      <c r="AB8" s="775"/>
      <c r="AC8" s="776">
        <v>2044724.0846024994</v>
      </c>
      <c r="AD8" s="774"/>
      <c r="AE8" s="775"/>
      <c r="AF8" s="776">
        <v>2351226.7141592442</v>
      </c>
      <c r="AG8" s="774"/>
      <c r="AH8" s="775"/>
      <c r="AI8" s="776">
        <v>2297872.1051162328</v>
      </c>
      <c r="AJ8" s="774"/>
      <c r="AK8" s="775"/>
      <c r="AL8" s="776">
        <v>1921112.4895841447</v>
      </c>
      <c r="AM8" s="774"/>
      <c r="AN8" s="775"/>
      <c r="AO8" s="776">
        <v>1660512.8381089361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25">
      <c r="A9" s="540" t="str">
        <f t="shared" ref="A9:A73" si="0">+$C$4&amp;B9</f>
        <v>Véhicules neufsAutos détail</v>
      </c>
      <c r="B9" s="550" t="s">
        <v>86</v>
      </c>
      <c r="C9" s="777">
        <v>86</v>
      </c>
      <c r="D9" s="778">
        <v>4306.395348837209</v>
      </c>
      <c r="E9" s="779">
        <v>370349.99999999994</v>
      </c>
      <c r="F9" s="777">
        <v>5</v>
      </c>
      <c r="G9" s="778">
        <v>4306.395348837209</v>
      </c>
      <c r="H9" s="779">
        <v>21531.976744186046</v>
      </c>
      <c r="I9" s="777">
        <v>4</v>
      </c>
      <c r="J9" s="778">
        <v>4306.395348837209</v>
      </c>
      <c r="K9" s="779">
        <v>17225.581395348836</v>
      </c>
      <c r="L9" s="777">
        <v>8</v>
      </c>
      <c r="M9" s="778">
        <v>4306.395348837209</v>
      </c>
      <c r="N9" s="779">
        <v>34451.162790697672</v>
      </c>
      <c r="O9" s="777">
        <v>10</v>
      </c>
      <c r="P9" s="778">
        <v>4306.395348837209</v>
      </c>
      <c r="Q9" s="779">
        <v>43063.953488372092</v>
      </c>
      <c r="R9" s="777">
        <v>11</v>
      </c>
      <c r="S9" s="778">
        <v>4306.395348837209</v>
      </c>
      <c r="T9" s="779">
        <v>47370.348837209298</v>
      </c>
      <c r="U9" s="777">
        <v>7</v>
      </c>
      <c r="V9" s="778">
        <v>4306.395348837209</v>
      </c>
      <c r="W9" s="779">
        <v>30144.767441860462</v>
      </c>
      <c r="X9" s="777">
        <v>5</v>
      </c>
      <c r="Y9" s="778">
        <v>4306.395348837209</v>
      </c>
      <c r="Z9" s="779">
        <v>21531.976744186046</v>
      </c>
      <c r="AA9" s="777">
        <v>7</v>
      </c>
      <c r="AB9" s="778">
        <v>4306.395348837209</v>
      </c>
      <c r="AC9" s="779">
        <v>30144.767441860462</v>
      </c>
      <c r="AD9" s="777">
        <v>8</v>
      </c>
      <c r="AE9" s="778">
        <v>4306.395348837209</v>
      </c>
      <c r="AF9" s="779">
        <v>34451.162790697672</v>
      </c>
      <c r="AG9" s="777">
        <v>8</v>
      </c>
      <c r="AH9" s="778">
        <v>4306.395348837209</v>
      </c>
      <c r="AI9" s="779">
        <v>34451.162790697672</v>
      </c>
      <c r="AJ9" s="777">
        <v>7</v>
      </c>
      <c r="AK9" s="778">
        <v>4306.395348837209</v>
      </c>
      <c r="AL9" s="779">
        <v>30144.767441860462</v>
      </c>
      <c r="AM9" s="777">
        <v>6</v>
      </c>
      <c r="AN9" s="778">
        <v>4306.395348837209</v>
      </c>
      <c r="AO9" s="779">
        <v>25838.372093023252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25">
      <c r="A10" s="540" t="str">
        <f t="shared" si="0"/>
        <v>Véhicules neufsCamions détail</v>
      </c>
      <c r="B10" s="550" t="s">
        <v>87</v>
      </c>
      <c r="C10" s="777">
        <v>151</v>
      </c>
      <c r="D10" s="778">
        <v>4000.3311258278145</v>
      </c>
      <c r="E10" s="779">
        <v>604050</v>
      </c>
      <c r="F10" s="777">
        <v>8</v>
      </c>
      <c r="G10" s="778">
        <v>4000.3311258278145</v>
      </c>
      <c r="H10" s="779">
        <v>32002.649006622516</v>
      </c>
      <c r="I10" s="777">
        <v>7</v>
      </c>
      <c r="J10" s="778">
        <v>4000.3311258278145</v>
      </c>
      <c r="K10" s="779">
        <v>28002.317880794701</v>
      </c>
      <c r="L10" s="777">
        <v>14</v>
      </c>
      <c r="M10" s="778">
        <v>4000.3311258278145</v>
      </c>
      <c r="N10" s="779">
        <v>56004.635761589401</v>
      </c>
      <c r="O10" s="777">
        <v>18</v>
      </c>
      <c r="P10" s="778">
        <v>4000.331125827814</v>
      </c>
      <c r="Q10" s="779">
        <v>72005.960264900656</v>
      </c>
      <c r="R10" s="777">
        <v>20</v>
      </c>
      <c r="S10" s="778">
        <v>4000.3311258278145</v>
      </c>
      <c r="T10" s="779">
        <v>80006.622516556294</v>
      </c>
      <c r="U10" s="777">
        <v>13</v>
      </c>
      <c r="V10" s="778">
        <v>4000.3311258278145</v>
      </c>
      <c r="W10" s="779">
        <v>52004.304635761589</v>
      </c>
      <c r="X10" s="777">
        <v>10</v>
      </c>
      <c r="Y10" s="778">
        <v>4000.3311258278145</v>
      </c>
      <c r="Z10" s="779">
        <v>40003.311258278147</v>
      </c>
      <c r="AA10" s="777">
        <v>12</v>
      </c>
      <c r="AB10" s="778">
        <v>4000.331125827814</v>
      </c>
      <c r="AC10" s="779">
        <v>48003.97350993377</v>
      </c>
      <c r="AD10" s="777">
        <v>14</v>
      </c>
      <c r="AE10" s="778">
        <v>4000.3311258278145</v>
      </c>
      <c r="AF10" s="779">
        <v>56004.635761589401</v>
      </c>
      <c r="AG10" s="777">
        <v>14</v>
      </c>
      <c r="AH10" s="778">
        <v>4000.3311258278145</v>
      </c>
      <c r="AI10" s="779">
        <v>56004.635761589401</v>
      </c>
      <c r="AJ10" s="777">
        <v>11</v>
      </c>
      <c r="AK10" s="778">
        <v>4000.3311258278145</v>
      </c>
      <c r="AL10" s="779">
        <v>44003.642384105959</v>
      </c>
      <c r="AM10" s="777">
        <v>10</v>
      </c>
      <c r="AN10" s="778">
        <v>4000.3311258278145</v>
      </c>
      <c r="AO10" s="779">
        <v>40003.311258278147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25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25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25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25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25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0.25">
      <c r="A16" s="540" t="str">
        <f t="shared" si="0"/>
        <v>Véhicules neufsTotal Neufs</v>
      </c>
      <c r="B16" s="604" t="s">
        <v>90</v>
      </c>
      <c r="C16" s="782">
        <v>237</v>
      </c>
      <c r="D16" s="783">
        <v>4111.3924050632913</v>
      </c>
      <c r="E16" s="784">
        <v>974400</v>
      </c>
      <c r="F16" s="782">
        <v>13</v>
      </c>
      <c r="G16" s="783">
        <v>4118.0481346775814</v>
      </c>
      <c r="H16" s="784">
        <v>53534.625750808562</v>
      </c>
      <c r="I16" s="782">
        <v>11</v>
      </c>
      <c r="J16" s="783">
        <v>4111.6272069221395</v>
      </c>
      <c r="K16" s="784">
        <v>45227.899276143537</v>
      </c>
      <c r="L16" s="782">
        <v>22</v>
      </c>
      <c r="M16" s="783">
        <v>4111.6272069221395</v>
      </c>
      <c r="N16" s="784">
        <v>90455.798552287073</v>
      </c>
      <c r="O16" s="782">
        <v>28</v>
      </c>
      <c r="P16" s="783">
        <v>4109.639776902598</v>
      </c>
      <c r="Q16" s="784">
        <v>115069.91375327275</v>
      </c>
      <c r="R16" s="782">
        <v>31</v>
      </c>
      <c r="S16" s="783">
        <v>4108.9345597988904</v>
      </c>
      <c r="T16" s="784">
        <v>127376.97135376559</v>
      </c>
      <c r="U16" s="782">
        <v>20</v>
      </c>
      <c r="V16" s="783">
        <v>4107.4536038811029</v>
      </c>
      <c r="W16" s="784">
        <v>82149.072077622055</v>
      </c>
      <c r="X16" s="782">
        <v>15</v>
      </c>
      <c r="Y16" s="783">
        <v>4102.352533497613</v>
      </c>
      <c r="Z16" s="784">
        <v>61535.288002464193</v>
      </c>
      <c r="AA16" s="782">
        <v>19</v>
      </c>
      <c r="AB16" s="783">
        <v>4113.0916290418018</v>
      </c>
      <c r="AC16" s="784">
        <v>78148.740951794229</v>
      </c>
      <c r="AD16" s="782">
        <v>22</v>
      </c>
      <c r="AE16" s="783">
        <v>4111.6272069221395</v>
      </c>
      <c r="AF16" s="784">
        <v>90455.798552287073</v>
      </c>
      <c r="AG16" s="782">
        <v>22</v>
      </c>
      <c r="AH16" s="783">
        <v>4111.6272069221395</v>
      </c>
      <c r="AI16" s="784">
        <v>90455.798552287073</v>
      </c>
      <c r="AJ16" s="782">
        <v>18</v>
      </c>
      <c r="AK16" s="783">
        <v>4119.3561014425786</v>
      </c>
      <c r="AL16" s="784">
        <v>74148.409825966417</v>
      </c>
      <c r="AM16" s="782">
        <v>16</v>
      </c>
      <c r="AN16" s="783">
        <v>4115.1052094563374</v>
      </c>
      <c r="AO16" s="784">
        <v>65841.683351301399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25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0.25">
      <c r="A18" s="540" t="str">
        <f t="shared" si="0"/>
        <v>Véhicules neufsEx-Démos et courtoisies</v>
      </c>
      <c r="B18" s="652" t="s">
        <v>91</v>
      </c>
      <c r="C18" s="787">
        <v>35</v>
      </c>
      <c r="D18" s="788">
        <v>750</v>
      </c>
      <c r="E18" s="789">
        <v>26250</v>
      </c>
      <c r="F18" s="787">
        <v>2</v>
      </c>
      <c r="G18" s="788">
        <v>750</v>
      </c>
      <c r="H18" s="789">
        <v>1500</v>
      </c>
      <c r="I18" s="787">
        <v>2</v>
      </c>
      <c r="J18" s="788">
        <v>750</v>
      </c>
      <c r="K18" s="789">
        <v>1500</v>
      </c>
      <c r="L18" s="787">
        <v>3</v>
      </c>
      <c r="M18" s="788">
        <v>750</v>
      </c>
      <c r="N18" s="789">
        <v>2250</v>
      </c>
      <c r="O18" s="787">
        <v>4</v>
      </c>
      <c r="P18" s="788">
        <v>750</v>
      </c>
      <c r="Q18" s="789">
        <v>3000</v>
      </c>
      <c r="R18" s="787">
        <v>5</v>
      </c>
      <c r="S18" s="788">
        <v>750</v>
      </c>
      <c r="T18" s="789">
        <v>3750</v>
      </c>
      <c r="U18" s="787">
        <v>3</v>
      </c>
      <c r="V18" s="788">
        <v>750</v>
      </c>
      <c r="W18" s="789">
        <v>2250</v>
      </c>
      <c r="X18" s="787">
        <v>2</v>
      </c>
      <c r="Y18" s="788">
        <v>750</v>
      </c>
      <c r="Z18" s="789">
        <v>1500</v>
      </c>
      <c r="AA18" s="787">
        <v>3</v>
      </c>
      <c r="AB18" s="788">
        <v>750</v>
      </c>
      <c r="AC18" s="789">
        <v>2250</v>
      </c>
      <c r="AD18" s="787">
        <v>3</v>
      </c>
      <c r="AE18" s="788">
        <v>750</v>
      </c>
      <c r="AF18" s="789">
        <v>2250</v>
      </c>
      <c r="AG18" s="787">
        <v>3</v>
      </c>
      <c r="AH18" s="788">
        <v>750</v>
      </c>
      <c r="AI18" s="789">
        <v>2250</v>
      </c>
      <c r="AJ18" s="787">
        <v>3</v>
      </c>
      <c r="AK18" s="788">
        <v>750</v>
      </c>
      <c r="AL18" s="789">
        <v>2250</v>
      </c>
      <c r="AM18" s="787">
        <v>2</v>
      </c>
      <c r="AN18" s="788">
        <v>750</v>
      </c>
      <c r="AO18" s="789">
        <v>1500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25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0.25">
      <c r="A20" s="540" t="str">
        <f t="shared" si="0"/>
        <v>Véhicules neufsFlottes</v>
      </c>
      <c r="B20" s="620" t="s">
        <v>92</v>
      </c>
      <c r="C20" s="777">
        <v>3</v>
      </c>
      <c r="D20" s="778">
        <v>0</v>
      </c>
      <c r="E20" s="779">
        <v>0</v>
      </c>
      <c r="F20" s="777">
        <v>0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1</v>
      </c>
      <c r="M20" s="778">
        <v>0</v>
      </c>
      <c r="N20" s="779">
        <v>0</v>
      </c>
      <c r="O20" s="777">
        <v>1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0</v>
      </c>
      <c r="AB20" s="778">
        <v>0</v>
      </c>
      <c r="AC20" s="779">
        <v>0</v>
      </c>
      <c r="AD20" s="777">
        <v>1</v>
      </c>
      <c r="AE20" s="778">
        <v>0</v>
      </c>
      <c r="AF20" s="779">
        <v>0</v>
      </c>
      <c r="AG20" s="777">
        <v>0</v>
      </c>
      <c r="AH20" s="778">
        <v>0</v>
      </c>
      <c r="AI20" s="779">
        <v>0</v>
      </c>
      <c r="AJ20" s="777">
        <v>0</v>
      </c>
      <c r="AK20" s="778">
        <v>0</v>
      </c>
      <c r="AL20" s="779">
        <v>0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0.25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0.25">
      <c r="A22" s="540" t="str">
        <f t="shared" si="0"/>
        <v>Véhicules neufsRachat bail</v>
      </c>
      <c r="B22" s="653" t="s">
        <v>93</v>
      </c>
      <c r="C22" s="780"/>
      <c r="D22" s="778"/>
      <c r="E22" s="779">
        <v>29970.000000000004</v>
      </c>
      <c r="F22" s="780"/>
      <c r="G22" s="778"/>
      <c r="H22" s="779">
        <v>2006.5069884531054</v>
      </c>
      <c r="I22" s="780"/>
      <c r="J22" s="778"/>
      <c r="K22" s="779">
        <v>1744.6740686142907</v>
      </c>
      <c r="L22" s="780"/>
      <c r="M22" s="778"/>
      <c r="N22" s="779">
        <v>2495.9768143875981</v>
      </c>
      <c r="O22" s="780"/>
      <c r="P22" s="778"/>
      <c r="Q22" s="779">
        <v>3500.0986408471085</v>
      </c>
      <c r="R22" s="780"/>
      <c r="S22" s="778"/>
      <c r="T22" s="779">
        <v>4034.9000858612535</v>
      </c>
      <c r="U22" s="780"/>
      <c r="V22" s="778"/>
      <c r="W22" s="779">
        <v>3007.1266755289494</v>
      </c>
      <c r="X22" s="780"/>
      <c r="Y22" s="778"/>
      <c r="Z22" s="779">
        <v>2178.6401672054026</v>
      </c>
      <c r="AA22" s="780"/>
      <c r="AB22" s="778"/>
      <c r="AC22" s="779">
        <v>3072.8225191038937</v>
      </c>
      <c r="AD22" s="780"/>
      <c r="AE22" s="778"/>
      <c r="AF22" s="779">
        <v>1622.1854762366743</v>
      </c>
      <c r="AG22" s="780"/>
      <c r="AH22" s="778"/>
      <c r="AI22" s="779">
        <v>2471.1767026515581</v>
      </c>
      <c r="AJ22" s="780"/>
      <c r="AK22" s="778"/>
      <c r="AL22" s="779">
        <v>1909.7846549970564</v>
      </c>
      <c r="AM22" s="780"/>
      <c r="AN22" s="778"/>
      <c r="AO22" s="779">
        <v>1926.107206113109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25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25">
      <c r="A24" s="540" t="str">
        <f t="shared" si="0"/>
        <v>Véhicules neufsRev. Finances</v>
      </c>
      <c r="B24" s="550" t="s">
        <v>94</v>
      </c>
      <c r="C24" s="777"/>
      <c r="D24" s="778">
        <v>25</v>
      </c>
      <c r="E24" s="779">
        <v>6800</v>
      </c>
      <c r="F24" s="777"/>
      <c r="G24" s="778">
        <v>25</v>
      </c>
      <c r="H24" s="779">
        <v>375</v>
      </c>
      <c r="I24" s="777"/>
      <c r="J24" s="778">
        <v>25</v>
      </c>
      <c r="K24" s="779">
        <v>325</v>
      </c>
      <c r="L24" s="777"/>
      <c r="M24" s="778">
        <v>25</v>
      </c>
      <c r="N24" s="779">
        <v>625</v>
      </c>
      <c r="O24" s="777"/>
      <c r="P24" s="778">
        <v>25</v>
      </c>
      <c r="Q24" s="779">
        <v>800</v>
      </c>
      <c r="R24" s="777"/>
      <c r="S24" s="778">
        <v>25</v>
      </c>
      <c r="T24" s="779">
        <v>900</v>
      </c>
      <c r="U24" s="777"/>
      <c r="V24" s="778">
        <v>25</v>
      </c>
      <c r="W24" s="779">
        <v>575</v>
      </c>
      <c r="X24" s="777"/>
      <c r="Y24" s="778">
        <v>25</v>
      </c>
      <c r="Z24" s="779">
        <v>425</v>
      </c>
      <c r="AA24" s="777"/>
      <c r="AB24" s="778">
        <v>25</v>
      </c>
      <c r="AC24" s="779">
        <v>550</v>
      </c>
      <c r="AD24" s="777"/>
      <c r="AE24" s="778">
        <v>25</v>
      </c>
      <c r="AF24" s="779">
        <v>625</v>
      </c>
      <c r="AG24" s="777"/>
      <c r="AH24" s="778">
        <v>25</v>
      </c>
      <c r="AI24" s="779">
        <v>625</v>
      </c>
      <c r="AJ24" s="777"/>
      <c r="AK24" s="778">
        <v>25</v>
      </c>
      <c r="AL24" s="779">
        <v>525</v>
      </c>
      <c r="AM24" s="777"/>
      <c r="AN24" s="778">
        <v>25</v>
      </c>
      <c r="AO24" s="779">
        <v>450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25">
      <c r="A25" s="540" t="str">
        <f t="shared" si="0"/>
        <v>Véhicules neufsRev. Protections</v>
      </c>
      <c r="B25" s="550" t="s">
        <v>95</v>
      </c>
      <c r="C25" s="777"/>
      <c r="D25" s="778">
        <v>1150</v>
      </c>
      <c r="E25" s="779">
        <v>312800</v>
      </c>
      <c r="F25" s="777"/>
      <c r="G25" s="778">
        <v>1150</v>
      </c>
      <c r="H25" s="779">
        <v>17250</v>
      </c>
      <c r="I25" s="777"/>
      <c r="J25" s="778">
        <v>1150</v>
      </c>
      <c r="K25" s="779">
        <v>14950</v>
      </c>
      <c r="L25" s="777"/>
      <c r="M25" s="778">
        <v>1150</v>
      </c>
      <c r="N25" s="779">
        <v>28750</v>
      </c>
      <c r="O25" s="777"/>
      <c r="P25" s="778">
        <v>1150</v>
      </c>
      <c r="Q25" s="779">
        <v>36800</v>
      </c>
      <c r="R25" s="777"/>
      <c r="S25" s="778">
        <v>1150</v>
      </c>
      <c r="T25" s="779">
        <v>41400</v>
      </c>
      <c r="U25" s="777"/>
      <c r="V25" s="778">
        <v>1150</v>
      </c>
      <c r="W25" s="779">
        <v>26450</v>
      </c>
      <c r="X25" s="777"/>
      <c r="Y25" s="778">
        <v>1150</v>
      </c>
      <c r="Z25" s="779">
        <v>19550</v>
      </c>
      <c r="AA25" s="777"/>
      <c r="AB25" s="778">
        <v>1150</v>
      </c>
      <c r="AC25" s="779">
        <v>25300</v>
      </c>
      <c r="AD25" s="777"/>
      <c r="AE25" s="778">
        <v>1150</v>
      </c>
      <c r="AF25" s="779">
        <v>28750</v>
      </c>
      <c r="AG25" s="777"/>
      <c r="AH25" s="778">
        <v>1150</v>
      </c>
      <c r="AI25" s="779">
        <v>28750</v>
      </c>
      <c r="AJ25" s="777"/>
      <c r="AK25" s="778">
        <v>1150</v>
      </c>
      <c r="AL25" s="779">
        <v>24150</v>
      </c>
      <c r="AM25" s="777"/>
      <c r="AN25" s="778">
        <v>1150</v>
      </c>
      <c r="AO25" s="779">
        <v>20700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25">
      <c r="A26" s="540" t="str">
        <f t="shared" si="0"/>
        <v>Véhicules neufsRev. Autres</v>
      </c>
      <c r="B26" s="550" t="s">
        <v>96</v>
      </c>
      <c r="C26" s="777"/>
      <c r="D26" s="778">
        <v>480</v>
      </c>
      <c r="E26" s="779">
        <v>130560</v>
      </c>
      <c r="F26" s="777"/>
      <c r="G26" s="778">
        <v>480</v>
      </c>
      <c r="H26" s="779">
        <v>7200</v>
      </c>
      <c r="I26" s="777"/>
      <c r="J26" s="778">
        <v>480</v>
      </c>
      <c r="K26" s="779">
        <v>6240</v>
      </c>
      <c r="L26" s="777"/>
      <c r="M26" s="778">
        <v>480</v>
      </c>
      <c r="N26" s="779">
        <v>12000</v>
      </c>
      <c r="O26" s="777"/>
      <c r="P26" s="778">
        <v>480</v>
      </c>
      <c r="Q26" s="779">
        <v>15360</v>
      </c>
      <c r="R26" s="777"/>
      <c r="S26" s="778">
        <v>480</v>
      </c>
      <c r="T26" s="779">
        <v>17280</v>
      </c>
      <c r="U26" s="777"/>
      <c r="V26" s="778">
        <v>480</v>
      </c>
      <c r="W26" s="779">
        <v>11040</v>
      </c>
      <c r="X26" s="777"/>
      <c r="Y26" s="778">
        <v>480</v>
      </c>
      <c r="Z26" s="779">
        <v>8160</v>
      </c>
      <c r="AA26" s="777"/>
      <c r="AB26" s="778">
        <v>480</v>
      </c>
      <c r="AC26" s="779">
        <v>10560</v>
      </c>
      <c r="AD26" s="777"/>
      <c r="AE26" s="778">
        <v>480</v>
      </c>
      <c r="AF26" s="779">
        <v>12000</v>
      </c>
      <c r="AG26" s="777"/>
      <c r="AH26" s="778">
        <v>480</v>
      </c>
      <c r="AI26" s="779">
        <v>12000</v>
      </c>
      <c r="AJ26" s="777"/>
      <c r="AK26" s="778">
        <v>480</v>
      </c>
      <c r="AL26" s="779">
        <v>10080</v>
      </c>
      <c r="AM26" s="777"/>
      <c r="AN26" s="778">
        <v>480</v>
      </c>
      <c r="AO26" s="779">
        <v>8640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25">
      <c r="A27" s="540" t="str">
        <f t="shared" si="0"/>
        <v>Véhicules neufsTotal F&amp;I</v>
      </c>
      <c r="B27" s="604" t="s">
        <v>97</v>
      </c>
      <c r="C27" s="782">
        <v>272</v>
      </c>
      <c r="D27" s="783">
        <v>1655</v>
      </c>
      <c r="E27" s="784">
        <v>450160</v>
      </c>
      <c r="F27" s="782">
        <v>15</v>
      </c>
      <c r="G27" s="783">
        <v>1655</v>
      </c>
      <c r="H27" s="784">
        <v>24825</v>
      </c>
      <c r="I27" s="782">
        <v>13</v>
      </c>
      <c r="J27" s="783">
        <v>1655</v>
      </c>
      <c r="K27" s="784">
        <v>21515</v>
      </c>
      <c r="L27" s="782">
        <v>25</v>
      </c>
      <c r="M27" s="783">
        <v>1655</v>
      </c>
      <c r="N27" s="784">
        <v>41375</v>
      </c>
      <c r="O27" s="782">
        <v>32</v>
      </c>
      <c r="P27" s="783">
        <v>1655</v>
      </c>
      <c r="Q27" s="784">
        <v>52960</v>
      </c>
      <c r="R27" s="782">
        <v>36</v>
      </c>
      <c r="S27" s="783">
        <v>1655</v>
      </c>
      <c r="T27" s="784">
        <v>59580</v>
      </c>
      <c r="U27" s="782">
        <v>23</v>
      </c>
      <c r="V27" s="783">
        <v>1655</v>
      </c>
      <c r="W27" s="784">
        <v>38065</v>
      </c>
      <c r="X27" s="782">
        <v>17</v>
      </c>
      <c r="Y27" s="783">
        <v>1655</v>
      </c>
      <c r="Z27" s="784">
        <v>28135</v>
      </c>
      <c r="AA27" s="782">
        <v>22</v>
      </c>
      <c r="AB27" s="783">
        <v>1655</v>
      </c>
      <c r="AC27" s="784">
        <v>36410</v>
      </c>
      <c r="AD27" s="782">
        <v>25</v>
      </c>
      <c r="AE27" s="783">
        <v>1655</v>
      </c>
      <c r="AF27" s="784">
        <v>41375</v>
      </c>
      <c r="AG27" s="782">
        <v>25</v>
      </c>
      <c r="AH27" s="783">
        <v>1655</v>
      </c>
      <c r="AI27" s="784">
        <v>41375</v>
      </c>
      <c r="AJ27" s="782">
        <v>21</v>
      </c>
      <c r="AK27" s="783">
        <v>1655</v>
      </c>
      <c r="AL27" s="784">
        <v>34755</v>
      </c>
      <c r="AM27" s="782">
        <v>18</v>
      </c>
      <c r="AN27" s="783">
        <v>1655</v>
      </c>
      <c r="AO27" s="784">
        <v>29790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25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" thickTop="1">
      <c r="A30" s="540" t="str">
        <f t="shared" si="0"/>
        <v>Véhicules neufsTotal Dépt. Neufs</v>
      </c>
      <c r="B30" s="606" t="s">
        <v>98</v>
      </c>
      <c r="C30" s="795">
        <v>275</v>
      </c>
      <c r="D30" s="796">
        <v>5384.6545454545458</v>
      </c>
      <c r="E30" s="797">
        <v>1480780</v>
      </c>
      <c r="F30" s="795">
        <v>15</v>
      </c>
      <c r="G30" s="796">
        <v>5457.742182617445</v>
      </c>
      <c r="H30" s="797">
        <v>81866.13273926168</v>
      </c>
      <c r="I30" s="795">
        <v>13</v>
      </c>
      <c r="J30" s="796">
        <v>5383.6594880582943</v>
      </c>
      <c r="K30" s="797">
        <v>69987.573344757824</v>
      </c>
      <c r="L30" s="795">
        <v>26</v>
      </c>
      <c r="M30" s="796">
        <v>5252.9528987182566</v>
      </c>
      <c r="N30" s="797">
        <v>136576.77536667467</v>
      </c>
      <c r="O30" s="795">
        <v>33</v>
      </c>
      <c r="P30" s="796">
        <v>5288.7882543672677</v>
      </c>
      <c r="Q30" s="797">
        <v>174530.01239411984</v>
      </c>
      <c r="R30" s="795">
        <v>36</v>
      </c>
      <c r="S30" s="796">
        <v>5409.4964288785231</v>
      </c>
      <c r="T30" s="797">
        <v>194741.87143962682</v>
      </c>
      <c r="U30" s="795">
        <v>23</v>
      </c>
      <c r="V30" s="796">
        <v>5455.2695110065661</v>
      </c>
      <c r="W30" s="797">
        <v>125471.19875315101</v>
      </c>
      <c r="X30" s="795">
        <v>17</v>
      </c>
      <c r="Y30" s="796">
        <v>5491.1134217452709</v>
      </c>
      <c r="Z30" s="797">
        <v>93348.928169669598</v>
      </c>
      <c r="AA30" s="795">
        <v>22</v>
      </c>
      <c r="AB30" s="796">
        <v>5449.1619759499144</v>
      </c>
      <c r="AC30" s="797">
        <v>119881.56347089812</v>
      </c>
      <c r="AD30" s="795">
        <v>26</v>
      </c>
      <c r="AE30" s="796">
        <v>5219.3455395586061</v>
      </c>
      <c r="AF30" s="797">
        <v>135702.98402852376</v>
      </c>
      <c r="AG30" s="795">
        <v>25</v>
      </c>
      <c r="AH30" s="796">
        <v>5462.0790101975444</v>
      </c>
      <c r="AI30" s="797">
        <v>136551.97525493862</v>
      </c>
      <c r="AJ30" s="795">
        <v>21</v>
      </c>
      <c r="AK30" s="796">
        <v>5383.9616419506419</v>
      </c>
      <c r="AL30" s="797">
        <v>113063.19448096347</v>
      </c>
      <c r="AM30" s="795">
        <v>18</v>
      </c>
      <c r="AN30" s="796">
        <v>5503.2105865230287</v>
      </c>
      <c r="AO30" s="797">
        <v>99057.790557414512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25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25">
      <c r="A34" s="540" t="str">
        <f t="shared" si="0"/>
        <v>Véhicules neufsComm. vendeurs</v>
      </c>
      <c r="B34" s="550" t="s">
        <v>100</v>
      </c>
      <c r="C34" s="805">
        <v>0.29126567730974867</v>
      </c>
      <c r="D34" s="806">
        <v>1071.5257352941176</v>
      </c>
      <c r="E34" s="807">
        <v>291455</v>
      </c>
      <c r="F34" s="805">
        <v>0.31323602206679546</v>
      </c>
      <c r="G34" s="806">
        <v>1149.2551497412067</v>
      </c>
      <c r="H34" s="807">
        <v>17238.8272461181</v>
      </c>
      <c r="I34" s="805">
        <v>0.31476231284111711</v>
      </c>
      <c r="J34" s="806">
        <v>1131.3985884896692</v>
      </c>
      <c r="K34" s="807">
        <v>14708.181650365701</v>
      </c>
      <c r="L34" s="805">
        <v>0.28606607661759331</v>
      </c>
      <c r="M34" s="806">
        <v>1060.7993628621489</v>
      </c>
      <c r="N34" s="807">
        <v>26519.984071553725</v>
      </c>
      <c r="O34" s="805">
        <v>0.28154120035683033</v>
      </c>
      <c r="P34" s="806">
        <v>1038.7982888788699</v>
      </c>
      <c r="Q34" s="807">
        <v>33241.545244123838</v>
      </c>
      <c r="R34" s="805">
        <v>0.2794200889964229</v>
      </c>
      <c r="S34" s="806">
        <v>1017.7641668194605</v>
      </c>
      <c r="T34" s="807">
        <v>36639.510005500575</v>
      </c>
      <c r="U34" s="805">
        <v>0.29112985857918805</v>
      </c>
      <c r="V34" s="806">
        <v>1068.3082573118613</v>
      </c>
      <c r="W34" s="807">
        <v>24571.089918172809</v>
      </c>
      <c r="X34" s="805">
        <v>0.30589256771486956</v>
      </c>
      <c r="Y34" s="806">
        <v>1134.2368296305931</v>
      </c>
      <c r="Z34" s="807">
        <v>19282.026103720083</v>
      </c>
      <c r="AA34" s="805">
        <v>0.2933806029593452</v>
      </c>
      <c r="AB34" s="806">
        <v>1072.1559589822541</v>
      </c>
      <c r="AC34" s="807">
        <v>23587.431097609591</v>
      </c>
      <c r="AD34" s="805">
        <v>0.28510663373248885</v>
      </c>
      <c r="AE34" s="806">
        <v>1057.2415261089923</v>
      </c>
      <c r="AF34" s="807">
        <v>26431.038152724806</v>
      </c>
      <c r="AG34" s="805">
        <v>0.28879302366331699</v>
      </c>
      <c r="AH34" s="806">
        <v>1070.9115150014936</v>
      </c>
      <c r="AI34" s="807">
        <v>26772.787875037338</v>
      </c>
      <c r="AJ34" s="805">
        <v>0.29015115608967729</v>
      </c>
      <c r="AK34" s="806">
        <v>1055.575568305577</v>
      </c>
      <c r="AL34" s="807">
        <v>22167.086934417115</v>
      </c>
      <c r="AM34" s="805">
        <v>0.30138081928811916</v>
      </c>
      <c r="AN34" s="806">
        <v>1127.5273167031282</v>
      </c>
      <c r="AO34" s="807">
        <v>20295.491700656308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25">
      <c r="A35" s="540" t="str">
        <f t="shared" si="0"/>
        <v>Véhicules neufsComm. F&amp;I</v>
      </c>
      <c r="B35" s="610" t="s">
        <v>101</v>
      </c>
      <c r="C35" s="808">
        <v>0.27500000000000002</v>
      </c>
      <c r="D35" s="809">
        <v>455.125</v>
      </c>
      <c r="E35" s="810">
        <v>123794</v>
      </c>
      <c r="F35" s="808">
        <v>0.27500000000000002</v>
      </c>
      <c r="G35" s="809">
        <v>455.125</v>
      </c>
      <c r="H35" s="810">
        <v>6826.875</v>
      </c>
      <c r="I35" s="808">
        <v>0.27500000000000002</v>
      </c>
      <c r="J35" s="809">
        <v>455.125</v>
      </c>
      <c r="K35" s="810">
        <v>5916.625</v>
      </c>
      <c r="L35" s="808">
        <v>0.27500000000000002</v>
      </c>
      <c r="M35" s="809">
        <v>455.125</v>
      </c>
      <c r="N35" s="810">
        <v>11378.125</v>
      </c>
      <c r="O35" s="808">
        <v>0.27500000000000002</v>
      </c>
      <c r="P35" s="809">
        <v>455.12500000000006</v>
      </c>
      <c r="Q35" s="810">
        <v>14564.000000000002</v>
      </c>
      <c r="R35" s="808">
        <v>0.27500000000000002</v>
      </c>
      <c r="S35" s="809">
        <v>455.125</v>
      </c>
      <c r="T35" s="810">
        <v>16384.5</v>
      </c>
      <c r="U35" s="808">
        <v>0.27500000000000002</v>
      </c>
      <c r="V35" s="809">
        <v>455.125</v>
      </c>
      <c r="W35" s="810">
        <v>10467.875</v>
      </c>
      <c r="X35" s="808">
        <v>0.27500000000000002</v>
      </c>
      <c r="Y35" s="809">
        <v>455.125</v>
      </c>
      <c r="Z35" s="810">
        <v>7737.125</v>
      </c>
      <c r="AA35" s="808">
        <v>0.27500000000000002</v>
      </c>
      <c r="AB35" s="809">
        <v>455.12500000000006</v>
      </c>
      <c r="AC35" s="810">
        <v>10012.750000000002</v>
      </c>
      <c r="AD35" s="808">
        <v>0.27500000000000002</v>
      </c>
      <c r="AE35" s="809">
        <v>455.125</v>
      </c>
      <c r="AF35" s="810">
        <v>11378.125</v>
      </c>
      <c r="AG35" s="808">
        <v>0.27500000000000002</v>
      </c>
      <c r="AH35" s="809">
        <v>455.125</v>
      </c>
      <c r="AI35" s="810">
        <v>11378.125</v>
      </c>
      <c r="AJ35" s="808">
        <v>0.27500000000000002</v>
      </c>
      <c r="AK35" s="809">
        <v>455.125</v>
      </c>
      <c r="AL35" s="810">
        <v>9557.625</v>
      </c>
      <c r="AM35" s="808">
        <v>0.27500000000000002</v>
      </c>
      <c r="AN35" s="809">
        <v>455.125</v>
      </c>
      <c r="AO35" s="810">
        <v>8192.25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25">
      <c r="A36" s="540" t="str">
        <f t="shared" si="0"/>
        <v>Véhicules neufsFrais de livraison</v>
      </c>
      <c r="B36" s="550" t="s">
        <v>102</v>
      </c>
      <c r="C36" s="785"/>
      <c r="D36" s="806">
        <v>130</v>
      </c>
      <c r="E36" s="807">
        <v>35360</v>
      </c>
      <c r="F36" s="785"/>
      <c r="G36" s="806">
        <v>130</v>
      </c>
      <c r="H36" s="807">
        <v>1950</v>
      </c>
      <c r="I36" s="785"/>
      <c r="J36" s="806">
        <v>130</v>
      </c>
      <c r="K36" s="807">
        <v>1690</v>
      </c>
      <c r="L36" s="785"/>
      <c r="M36" s="806">
        <v>130</v>
      </c>
      <c r="N36" s="807">
        <v>3250</v>
      </c>
      <c r="O36" s="785"/>
      <c r="P36" s="806">
        <v>130</v>
      </c>
      <c r="Q36" s="807">
        <v>4160</v>
      </c>
      <c r="R36" s="785"/>
      <c r="S36" s="806">
        <v>130</v>
      </c>
      <c r="T36" s="807">
        <v>4680</v>
      </c>
      <c r="U36" s="785"/>
      <c r="V36" s="806">
        <v>130</v>
      </c>
      <c r="W36" s="807">
        <v>2990</v>
      </c>
      <c r="X36" s="785"/>
      <c r="Y36" s="806">
        <v>130</v>
      </c>
      <c r="Z36" s="807">
        <v>2210</v>
      </c>
      <c r="AA36" s="785"/>
      <c r="AB36" s="806">
        <v>130</v>
      </c>
      <c r="AC36" s="807">
        <v>2860</v>
      </c>
      <c r="AD36" s="785"/>
      <c r="AE36" s="806">
        <v>130</v>
      </c>
      <c r="AF36" s="807">
        <v>3250</v>
      </c>
      <c r="AG36" s="785"/>
      <c r="AH36" s="806">
        <v>130</v>
      </c>
      <c r="AI36" s="807">
        <v>3250</v>
      </c>
      <c r="AJ36" s="785"/>
      <c r="AK36" s="806">
        <v>130</v>
      </c>
      <c r="AL36" s="807">
        <v>2730</v>
      </c>
      <c r="AM36" s="785"/>
      <c r="AN36" s="806">
        <v>130</v>
      </c>
      <c r="AO36" s="807">
        <v>2340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25">
      <c r="A37" s="540" t="str">
        <f t="shared" si="0"/>
        <v>Véhicules neufsService gratuit 1</v>
      </c>
      <c r="B37" s="550" t="s">
        <v>103</v>
      </c>
      <c r="C37" s="785"/>
      <c r="D37" s="806">
        <v>37</v>
      </c>
      <c r="E37" s="807">
        <v>10064</v>
      </c>
      <c r="F37" s="785"/>
      <c r="G37" s="806">
        <v>37</v>
      </c>
      <c r="H37" s="807">
        <v>555</v>
      </c>
      <c r="I37" s="785"/>
      <c r="J37" s="806">
        <v>37</v>
      </c>
      <c r="K37" s="807">
        <v>481</v>
      </c>
      <c r="L37" s="785"/>
      <c r="M37" s="806">
        <v>37</v>
      </c>
      <c r="N37" s="807">
        <v>925</v>
      </c>
      <c r="O37" s="785"/>
      <c r="P37" s="806">
        <v>37</v>
      </c>
      <c r="Q37" s="807">
        <v>1184</v>
      </c>
      <c r="R37" s="785"/>
      <c r="S37" s="806">
        <v>37</v>
      </c>
      <c r="T37" s="807">
        <v>1332</v>
      </c>
      <c r="U37" s="785"/>
      <c r="V37" s="806">
        <v>37</v>
      </c>
      <c r="W37" s="807">
        <v>851</v>
      </c>
      <c r="X37" s="785"/>
      <c r="Y37" s="806">
        <v>37</v>
      </c>
      <c r="Z37" s="807">
        <v>629</v>
      </c>
      <c r="AA37" s="785"/>
      <c r="AB37" s="806">
        <v>37</v>
      </c>
      <c r="AC37" s="807">
        <v>814</v>
      </c>
      <c r="AD37" s="785"/>
      <c r="AE37" s="806">
        <v>37</v>
      </c>
      <c r="AF37" s="807">
        <v>925</v>
      </c>
      <c r="AG37" s="785"/>
      <c r="AH37" s="806">
        <v>37</v>
      </c>
      <c r="AI37" s="807">
        <v>925</v>
      </c>
      <c r="AJ37" s="785"/>
      <c r="AK37" s="806">
        <v>37</v>
      </c>
      <c r="AL37" s="807">
        <v>777</v>
      </c>
      <c r="AM37" s="785"/>
      <c r="AN37" s="806">
        <v>37</v>
      </c>
      <c r="AO37" s="807">
        <v>666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25">
      <c r="A38" s="540" t="str">
        <f t="shared" si="0"/>
        <v>Véhicules neufsEntretien stock</v>
      </c>
      <c r="B38" s="610" t="s">
        <v>104</v>
      </c>
      <c r="C38" s="811"/>
      <c r="D38" s="809">
        <v>61.617647058823529</v>
      </c>
      <c r="E38" s="810">
        <v>16760</v>
      </c>
      <c r="F38" s="811"/>
      <c r="G38" s="809">
        <v>65</v>
      </c>
      <c r="H38" s="810">
        <v>975</v>
      </c>
      <c r="I38" s="811"/>
      <c r="J38" s="809">
        <v>66.538461538461533</v>
      </c>
      <c r="K38" s="810">
        <v>865</v>
      </c>
      <c r="L38" s="811"/>
      <c r="M38" s="809">
        <v>61</v>
      </c>
      <c r="N38" s="810">
        <v>1525</v>
      </c>
      <c r="O38" s="811"/>
      <c r="P38" s="809">
        <v>59.6875</v>
      </c>
      <c r="Q38" s="810">
        <v>1910</v>
      </c>
      <c r="R38" s="811"/>
      <c r="S38" s="809">
        <v>59.166666666666664</v>
      </c>
      <c r="T38" s="810">
        <v>2130</v>
      </c>
      <c r="U38" s="811"/>
      <c r="V38" s="809">
        <v>61.521739130434781</v>
      </c>
      <c r="W38" s="810">
        <v>1415</v>
      </c>
      <c r="X38" s="811"/>
      <c r="Y38" s="809">
        <v>63.823529411764703</v>
      </c>
      <c r="Z38" s="810">
        <v>1085</v>
      </c>
      <c r="AA38" s="811"/>
      <c r="AB38" s="809">
        <v>61.81818181818182</v>
      </c>
      <c r="AC38" s="810">
        <v>1360</v>
      </c>
      <c r="AD38" s="811"/>
      <c r="AE38" s="809">
        <v>61</v>
      </c>
      <c r="AF38" s="810">
        <v>1525</v>
      </c>
      <c r="AG38" s="811"/>
      <c r="AH38" s="809">
        <v>61</v>
      </c>
      <c r="AI38" s="810">
        <v>1525</v>
      </c>
      <c r="AJ38" s="811"/>
      <c r="AK38" s="809">
        <v>62.142857142857146</v>
      </c>
      <c r="AL38" s="810">
        <v>1305</v>
      </c>
      <c r="AM38" s="811"/>
      <c r="AN38" s="809">
        <v>63.333333333333336</v>
      </c>
      <c r="AO38" s="810">
        <v>1140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25">
      <c r="A39" s="540" t="str">
        <f t="shared" si="0"/>
        <v>Véhicules neufsPublicité 1</v>
      </c>
      <c r="B39" s="550" t="s">
        <v>105</v>
      </c>
      <c r="C39" s="785"/>
      <c r="D39" s="806">
        <v>513.97058823529414</v>
      </c>
      <c r="E39" s="807">
        <v>139800</v>
      </c>
      <c r="F39" s="785"/>
      <c r="G39" s="806">
        <v>513.97058823529414</v>
      </c>
      <c r="H39" s="807">
        <v>7709.5588235294126</v>
      </c>
      <c r="I39" s="785"/>
      <c r="J39" s="806">
        <v>513.97058823529414</v>
      </c>
      <c r="K39" s="807">
        <v>6681.6176470588234</v>
      </c>
      <c r="L39" s="785"/>
      <c r="M39" s="806">
        <v>513.97058823529414</v>
      </c>
      <c r="N39" s="807">
        <v>12849.264705882353</v>
      </c>
      <c r="O39" s="785"/>
      <c r="P39" s="806">
        <v>513.97058823529414</v>
      </c>
      <c r="Q39" s="807">
        <v>16447.058823529413</v>
      </c>
      <c r="R39" s="785"/>
      <c r="S39" s="806">
        <v>513.97058823529414</v>
      </c>
      <c r="T39" s="807">
        <v>18502.941176470587</v>
      </c>
      <c r="U39" s="785"/>
      <c r="V39" s="806">
        <v>513.97058823529414</v>
      </c>
      <c r="W39" s="807">
        <v>11821.323529411766</v>
      </c>
      <c r="X39" s="785"/>
      <c r="Y39" s="806">
        <v>513.97058823529414</v>
      </c>
      <c r="Z39" s="807">
        <v>8737.5</v>
      </c>
      <c r="AA39" s="785"/>
      <c r="AB39" s="806">
        <v>513.97058823529414</v>
      </c>
      <c r="AC39" s="807">
        <v>11307.352941176472</v>
      </c>
      <c r="AD39" s="785"/>
      <c r="AE39" s="806">
        <v>513.97058823529414</v>
      </c>
      <c r="AF39" s="807">
        <v>12849.264705882353</v>
      </c>
      <c r="AG39" s="785"/>
      <c r="AH39" s="806">
        <v>513.97058823529414</v>
      </c>
      <c r="AI39" s="807">
        <v>12849.264705882353</v>
      </c>
      <c r="AJ39" s="785"/>
      <c r="AK39" s="806">
        <v>513.97058823529414</v>
      </c>
      <c r="AL39" s="807">
        <v>10793.382352941177</v>
      </c>
      <c r="AM39" s="785"/>
      <c r="AN39" s="806">
        <v>513.97058823529414</v>
      </c>
      <c r="AO39" s="807">
        <v>9251.4705882352937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25">
      <c r="A40" s="540" t="str">
        <f t="shared" si="0"/>
        <v>Véhicules neufsIntérêt de gros</v>
      </c>
      <c r="B40" s="550" t="s">
        <v>106</v>
      </c>
      <c r="C40" s="785"/>
      <c r="D40" s="806">
        <v>1186.9395747630365</v>
      </c>
      <c r="E40" s="807">
        <v>322847.56433554593</v>
      </c>
      <c r="F40" s="785"/>
      <c r="G40" s="806">
        <v>1702.2597257416485</v>
      </c>
      <c r="H40" s="807">
        <v>25533.895886124727</v>
      </c>
      <c r="I40" s="785"/>
      <c r="J40" s="806">
        <v>1969.1431485044491</v>
      </c>
      <c r="K40" s="807">
        <v>25598.860930557839</v>
      </c>
      <c r="L40" s="785"/>
      <c r="M40" s="806">
        <v>1230.2633956146151</v>
      </c>
      <c r="N40" s="807">
        <v>30756.584890365375</v>
      </c>
      <c r="O40" s="785"/>
      <c r="P40" s="806">
        <v>974.98575635560883</v>
      </c>
      <c r="Q40" s="807">
        <v>31199.544203379482</v>
      </c>
      <c r="R40" s="785"/>
      <c r="S40" s="806">
        <v>835.15871512428737</v>
      </c>
      <c r="T40" s="807">
        <v>30065.713744474346</v>
      </c>
      <c r="U40" s="785"/>
      <c r="V40" s="806">
        <v>1107.6277490457358</v>
      </c>
      <c r="W40" s="807">
        <v>25475.43822805192</v>
      </c>
      <c r="X40" s="785"/>
      <c r="Y40" s="806">
        <v>1525.2107656099477</v>
      </c>
      <c r="Z40" s="807">
        <v>25928.583015369109</v>
      </c>
      <c r="AA40" s="785"/>
      <c r="AB40" s="806">
        <v>1242.6971135385343</v>
      </c>
      <c r="AC40" s="807">
        <v>27339.336497847755</v>
      </c>
      <c r="AD40" s="785"/>
      <c r="AE40" s="806">
        <v>1069.1875192149439</v>
      </c>
      <c r="AF40" s="807">
        <v>26729.687980373597</v>
      </c>
      <c r="AG40" s="785"/>
      <c r="AH40" s="806">
        <v>1057.7884935290861</v>
      </c>
      <c r="AI40" s="807">
        <v>26444.712338227153</v>
      </c>
      <c r="AJ40" s="785"/>
      <c r="AK40" s="806">
        <v>1149.0993430023393</v>
      </c>
      <c r="AL40" s="807">
        <v>24131.086203049126</v>
      </c>
      <c r="AM40" s="785"/>
      <c r="AN40" s="806">
        <v>1313.562245429197</v>
      </c>
      <c r="AO40" s="807">
        <v>23644.120417725546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25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25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25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25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0.63485498476177826</v>
      </c>
      <c r="E44" s="814">
        <v>940080.56433554599</v>
      </c>
      <c r="F44" s="812" t="s">
        <v>108</v>
      </c>
      <c r="G44" s="813">
        <v>0.74254340496798299</v>
      </c>
      <c r="H44" s="814">
        <v>60789.15695577224</v>
      </c>
      <c r="I44" s="812" t="s">
        <v>108</v>
      </c>
      <c r="J44" s="813">
        <v>0.79930311274569232</v>
      </c>
      <c r="K44" s="814">
        <v>55941.285227982371</v>
      </c>
      <c r="L44" s="812" t="s">
        <v>108</v>
      </c>
      <c r="M44" s="813">
        <v>0.63849771261387978</v>
      </c>
      <c r="N44" s="814">
        <v>87203.95866780146</v>
      </c>
      <c r="O44" s="812" t="s">
        <v>108</v>
      </c>
      <c r="P44" s="813">
        <v>0.58847270370384186</v>
      </c>
      <c r="Q44" s="814">
        <v>102706.14827103273</v>
      </c>
      <c r="R44" s="812" t="s">
        <v>108</v>
      </c>
      <c r="S44" s="813">
        <v>0.56348778059506865</v>
      </c>
      <c r="T44" s="814">
        <v>109734.6649264455</v>
      </c>
      <c r="U44" s="812" t="s">
        <v>108</v>
      </c>
      <c r="V44" s="813">
        <v>0.61840268879783777</v>
      </c>
      <c r="W44" s="814">
        <v>77591.726675636499</v>
      </c>
      <c r="X44" s="812" t="s">
        <v>108</v>
      </c>
      <c r="Y44" s="813">
        <v>0.70283864427279596</v>
      </c>
      <c r="Z44" s="814">
        <v>65609.234119089189</v>
      </c>
      <c r="AA44" s="812" t="s">
        <v>108</v>
      </c>
      <c r="AB44" s="813">
        <v>0.64464349895965578</v>
      </c>
      <c r="AC44" s="814">
        <v>77280.870536633825</v>
      </c>
      <c r="AD44" s="812" t="s">
        <v>108</v>
      </c>
      <c r="AE44" s="813">
        <v>0.6122792098773322</v>
      </c>
      <c r="AF44" s="814">
        <v>83088.115838980753</v>
      </c>
      <c r="AG44" s="812" t="s">
        <v>108</v>
      </c>
      <c r="AH44" s="813">
        <v>0.60888822562923539</v>
      </c>
      <c r="AI44" s="814">
        <v>83144.889919146837</v>
      </c>
      <c r="AJ44" s="812" t="s">
        <v>108</v>
      </c>
      <c r="AK44" s="813">
        <v>0.6320463597235384</v>
      </c>
      <c r="AL44" s="814">
        <v>71461.180490407423</v>
      </c>
      <c r="AM44" s="812" t="s">
        <v>108</v>
      </c>
      <c r="AN44" s="813">
        <v>0.66152629023797915</v>
      </c>
      <c r="AO44" s="814">
        <v>65529.332706617148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25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150304.6</v>
      </c>
      <c r="F45" s="785"/>
      <c r="G45" s="793"/>
      <c r="H45" s="807">
        <v>12763.084482758622</v>
      </c>
      <c r="I45" s="785"/>
      <c r="J45" s="793"/>
      <c r="K45" s="807">
        <v>12192.601724137932</v>
      </c>
      <c r="L45" s="785"/>
      <c r="M45" s="793"/>
      <c r="N45" s="807">
        <v>12382.762643678161</v>
      </c>
      <c r="O45" s="785"/>
      <c r="P45" s="793"/>
      <c r="Q45" s="807">
        <v>12572.923563218392</v>
      </c>
      <c r="R45" s="785"/>
      <c r="S45" s="793"/>
      <c r="T45" s="807">
        <v>12572.923563218392</v>
      </c>
      <c r="U45" s="785"/>
      <c r="V45" s="793"/>
      <c r="W45" s="807">
        <v>12382.762643678161</v>
      </c>
      <c r="X45" s="785"/>
      <c r="Y45" s="793"/>
      <c r="Z45" s="807">
        <v>12763.084482758622</v>
      </c>
      <c r="AA45" s="785"/>
      <c r="AB45" s="793"/>
      <c r="AC45" s="807">
        <v>12382.762643678161</v>
      </c>
      <c r="AD45" s="785"/>
      <c r="AE45" s="793"/>
      <c r="AF45" s="807">
        <v>12572.923563218392</v>
      </c>
      <c r="AG45" s="785"/>
      <c r="AH45" s="793"/>
      <c r="AI45" s="807">
        <v>12763.084482758622</v>
      </c>
      <c r="AJ45" s="785"/>
      <c r="AK45" s="793"/>
      <c r="AL45" s="807">
        <v>12192.601724137932</v>
      </c>
      <c r="AM45" s="785"/>
      <c r="AN45" s="793"/>
      <c r="AO45" s="807">
        <v>12763.084482758622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25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115883.20000000001</v>
      </c>
      <c r="F46" s="785"/>
      <c r="G46" s="793"/>
      <c r="H46" s="807">
        <v>10583.90459770115</v>
      </c>
      <c r="I46" s="785"/>
      <c r="J46" s="793"/>
      <c r="K46" s="807">
        <v>9514.1735632183918</v>
      </c>
      <c r="L46" s="785"/>
      <c r="M46" s="793"/>
      <c r="N46" s="807">
        <v>9192.4172413793131</v>
      </c>
      <c r="O46" s="785"/>
      <c r="P46" s="793"/>
      <c r="Q46" s="807">
        <v>9200.6609195402307</v>
      </c>
      <c r="R46" s="785"/>
      <c r="S46" s="793"/>
      <c r="T46" s="807">
        <v>9035.6609195402307</v>
      </c>
      <c r="U46" s="785"/>
      <c r="V46" s="793"/>
      <c r="W46" s="807">
        <v>9357.4172413793131</v>
      </c>
      <c r="X46" s="785"/>
      <c r="Y46" s="793"/>
      <c r="Z46" s="807">
        <v>10473.90459770115</v>
      </c>
      <c r="AA46" s="785"/>
      <c r="AB46" s="793"/>
      <c r="AC46" s="807">
        <v>9412.4172413793131</v>
      </c>
      <c r="AD46" s="785"/>
      <c r="AE46" s="793"/>
      <c r="AF46" s="807">
        <v>9585.6609195402307</v>
      </c>
      <c r="AG46" s="785"/>
      <c r="AH46" s="793"/>
      <c r="AI46" s="807">
        <v>10033.90459770115</v>
      </c>
      <c r="AJ46" s="785"/>
      <c r="AK46" s="793"/>
      <c r="AL46" s="807">
        <v>9074.1735632183918</v>
      </c>
      <c r="AM46" s="785"/>
      <c r="AN46" s="793"/>
      <c r="AO46" s="807">
        <v>10418.90459770115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25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25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25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25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25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25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88637.497975650243</v>
      </c>
      <c r="F52" s="785"/>
      <c r="G52" s="793"/>
      <c r="H52" s="807">
        <v>7667.9796235772119</v>
      </c>
      <c r="I52" s="785"/>
      <c r="J52" s="793"/>
      <c r="K52" s="807">
        <v>4479.9346119043785</v>
      </c>
      <c r="L52" s="785"/>
      <c r="M52" s="793"/>
      <c r="N52" s="807">
        <v>6075.5394173238801</v>
      </c>
      <c r="O52" s="785"/>
      <c r="P52" s="793"/>
      <c r="Q52" s="807">
        <v>8894.4548143822285</v>
      </c>
      <c r="R52" s="785"/>
      <c r="S52" s="793"/>
      <c r="T52" s="807">
        <v>9483.1920606860585</v>
      </c>
      <c r="U52" s="785"/>
      <c r="V52" s="793"/>
      <c r="W52" s="807">
        <v>7379.7220053243154</v>
      </c>
      <c r="X52" s="785"/>
      <c r="Y52" s="793"/>
      <c r="Z52" s="807">
        <v>6666.806420952511</v>
      </c>
      <c r="AA52" s="785"/>
      <c r="AB52" s="793"/>
      <c r="AC52" s="807">
        <v>5700.37004372102</v>
      </c>
      <c r="AD52" s="785"/>
      <c r="AE52" s="793"/>
      <c r="AF52" s="807">
        <v>7774.7124410085562</v>
      </c>
      <c r="AG52" s="785"/>
      <c r="AH52" s="793"/>
      <c r="AI52" s="807">
        <v>7912.414865972517</v>
      </c>
      <c r="AJ52" s="785"/>
      <c r="AK52" s="793"/>
      <c r="AL52" s="807">
        <v>5460.6458980371081</v>
      </c>
      <c r="AM52" s="785"/>
      <c r="AN52" s="793"/>
      <c r="AO52" s="807">
        <v>11141.725772760459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25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101920.83505883538</v>
      </c>
      <c r="F53" s="815"/>
      <c r="G53" s="816"/>
      <c r="H53" s="817">
        <v>9462.3846969783972</v>
      </c>
      <c r="I53" s="815"/>
      <c r="J53" s="816"/>
      <c r="K53" s="817">
        <v>7766.8431586820479</v>
      </c>
      <c r="L53" s="815"/>
      <c r="M53" s="816"/>
      <c r="N53" s="817">
        <v>9179.3475979132545</v>
      </c>
      <c r="O53" s="815"/>
      <c r="P53" s="816"/>
      <c r="Q53" s="817">
        <v>10383.074519460788</v>
      </c>
      <c r="R53" s="815"/>
      <c r="S53" s="816"/>
      <c r="T53" s="817">
        <v>10868.251478286436</v>
      </c>
      <c r="U53" s="815"/>
      <c r="V53" s="816"/>
      <c r="W53" s="817">
        <v>8488.1399217230446</v>
      </c>
      <c r="X53" s="815"/>
      <c r="Y53" s="816"/>
      <c r="Z53" s="817">
        <v>7668.1459940169716</v>
      </c>
      <c r="AA53" s="815"/>
      <c r="AB53" s="816"/>
      <c r="AC53" s="817">
        <v>8147.8115298838502</v>
      </c>
      <c r="AD53" s="815"/>
      <c r="AE53" s="816"/>
      <c r="AF53" s="817">
        <v>8275.1095060572407</v>
      </c>
      <c r="AG53" s="815"/>
      <c r="AH53" s="816"/>
      <c r="AI53" s="817">
        <v>8082.0910932346605</v>
      </c>
      <c r="AJ53" s="815"/>
      <c r="AK53" s="816"/>
      <c r="AL53" s="817">
        <v>6914.8396426230784</v>
      </c>
      <c r="AM53" s="815"/>
      <c r="AN53" s="816"/>
      <c r="AO53" s="817">
        <v>6684.795919975616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25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53342.478484615385</v>
      </c>
      <c r="F54" s="785"/>
      <c r="G54" s="793"/>
      <c r="H54" s="807">
        <v>3806.7064872901597</v>
      </c>
      <c r="I54" s="785"/>
      <c r="J54" s="793"/>
      <c r="K54" s="807">
        <v>3408.6459003620275</v>
      </c>
      <c r="L54" s="785"/>
      <c r="M54" s="793"/>
      <c r="N54" s="807">
        <v>4622.693034920344</v>
      </c>
      <c r="O54" s="785"/>
      <c r="P54" s="793"/>
      <c r="Q54" s="807">
        <v>5344.2295320754065</v>
      </c>
      <c r="R54" s="785"/>
      <c r="S54" s="793"/>
      <c r="T54" s="807">
        <v>5697.9720653717786</v>
      </c>
      <c r="U54" s="785"/>
      <c r="V54" s="793"/>
      <c r="W54" s="807">
        <v>4434.1029441836799</v>
      </c>
      <c r="X54" s="785"/>
      <c r="Y54" s="793"/>
      <c r="Z54" s="807">
        <v>4005.7479073222985</v>
      </c>
      <c r="AA54" s="785"/>
      <c r="AB54" s="793"/>
      <c r="AC54" s="807">
        <v>4337.2380767442546</v>
      </c>
      <c r="AD54" s="785"/>
      <c r="AE54" s="793"/>
      <c r="AF54" s="807">
        <v>4671.4327856774744</v>
      </c>
      <c r="AG54" s="785"/>
      <c r="AH54" s="793"/>
      <c r="AI54" s="807">
        <v>4754.1712313145063</v>
      </c>
      <c r="AJ54" s="785"/>
      <c r="AK54" s="793"/>
      <c r="AL54" s="807">
        <v>4154.8392702456267</v>
      </c>
      <c r="AM54" s="785"/>
      <c r="AN54" s="793"/>
      <c r="AO54" s="807">
        <v>4104.6992491078345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25">
      <c r="A55" s="540" t="str">
        <f t="shared" si="0"/>
        <v>Véhicules neufsCsst</v>
      </c>
      <c r="B55" s="626" t="s">
        <v>116</v>
      </c>
      <c r="C55" s="785"/>
      <c r="D55" s="793"/>
      <c r="E55" s="807">
        <v>11430.531103846153</v>
      </c>
      <c r="F55" s="785"/>
      <c r="G55" s="793"/>
      <c r="H55" s="807">
        <v>815.72281870503411</v>
      </c>
      <c r="I55" s="785"/>
      <c r="J55" s="793"/>
      <c r="K55" s="807">
        <v>730.42412150614871</v>
      </c>
      <c r="L55" s="785"/>
      <c r="M55" s="793"/>
      <c r="N55" s="807">
        <v>990.5770789115021</v>
      </c>
      <c r="O55" s="785"/>
      <c r="P55" s="793"/>
      <c r="Q55" s="807">
        <v>1145.1920425875869</v>
      </c>
      <c r="R55" s="785"/>
      <c r="S55" s="793"/>
      <c r="T55" s="807">
        <v>1220.9940140082381</v>
      </c>
      <c r="U55" s="785"/>
      <c r="V55" s="793"/>
      <c r="W55" s="807">
        <v>950.16491661078851</v>
      </c>
      <c r="X55" s="785"/>
      <c r="Y55" s="793"/>
      <c r="Z55" s="807">
        <v>858.3745515690639</v>
      </c>
      <c r="AA55" s="785"/>
      <c r="AB55" s="793"/>
      <c r="AC55" s="807">
        <v>929.40815930234021</v>
      </c>
      <c r="AD55" s="785"/>
      <c r="AE55" s="793"/>
      <c r="AF55" s="807">
        <v>1001.0213112166016</v>
      </c>
      <c r="AG55" s="785"/>
      <c r="AH55" s="793"/>
      <c r="AI55" s="807">
        <v>1018.7509781388227</v>
      </c>
      <c r="AJ55" s="785"/>
      <c r="AK55" s="793"/>
      <c r="AL55" s="807">
        <v>890.32270076691987</v>
      </c>
      <c r="AM55" s="785"/>
      <c r="AN55" s="793"/>
      <c r="AO55" s="807">
        <v>879.57841052310732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25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0.25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0.35496369658082039</v>
      </c>
      <c r="E57" s="814">
        <v>525623.14262294723</v>
      </c>
      <c r="F57" s="812" t="s">
        <v>108</v>
      </c>
      <c r="G57" s="813">
        <v>0.55507425581882197</v>
      </c>
      <c r="H57" s="814">
        <v>45441.782707010578</v>
      </c>
      <c r="I57" s="812" t="s">
        <v>108</v>
      </c>
      <c r="J57" s="813">
        <v>0.54916353351019176</v>
      </c>
      <c r="K57" s="814">
        <v>38434.623079810917</v>
      </c>
      <c r="L57" s="812" t="s">
        <v>108</v>
      </c>
      <c r="M57" s="813">
        <v>0.31326949182434916</v>
      </c>
      <c r="N57" s="814">
        <v>42785.33701412646</v>
      </c>
      <c r="O57" s="812" t="s">
        <v>108</v>
      </c>
      <c r="P57" s="813">
        <v>0.27435129771914152</v>
      </c>
      <c r="Q57" s="814">
        <v>47882.535391264631</v>
      </c>
      <c r="R57" s="812" t="s">
        <v>108</v>
      </c>
      <c r="S57" s="813">
        <v>0.25274992859648293</v>
      </c>
      <c r="T57" s="814">
        <v>49220.994101111137</v>
      </c>
      <c r="U57" s="812" t="s">
        <v>108</v>
      </c>
      <c r="V57" s="813">
        <v>0.34537256440941616</v>
      </c>
      <c r="W57" s="814">
        <v>43334.309672899304</v>
      </c>
      <c r="X57" s="812" t="s">
        <v>108</v>
      </c>
      <c r="Y57" s="813">
        <v>0.45825983000648768</v>
      </c>
      <c r="Z57" s="814">
        <v>42778.06395432062</v>
      </c>
      <c r="AA57" s="812" t="s">
        <v>108</v>
      </c>
      <c r="AB57" s="813">
        <v>0.34410635380746502</v>
      </c>
      <c r="AC57" s="814">
        <v>41252.00769470894</v>
      </c>
      <c r="AD57" s="812" t="s">
        <v>108</v>
      </c>
      <c r="AE57" s="813">
        <v>0.32587979434131809</v>
      </c>
      <c r="AF57" s="814">
        <v>44222.860526718498</v>
      </c>
      <c r="AG57" s="812" t="s">
        <v>108</v>
      </c>
      <c r="AH57" s="813">
        <v>0.32885952155053988</v>
      </c>
      <c r="AI57" s="814">
        <v>44906.417249120277</v>
      </c>
      <c r="AJ57" s="812" t="s">
        <v>108</v>
      </c>
      <c r="AK57" s="813">
        <v>0.34520007132471797</v>
      </c>
      <c r="AL57" s="814">
        <v>39029.422799029053</v>
      </c>
      <c r="AM57" s="812" t="s">
        <v>108</v>
      </c>
      <c r="AN57" s="813">
        <v>0.46775511721080493</v>
      </c>
      <c r="AO57" s="814">
        <v>46334.78843282679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25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25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25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79451.199999999997</v>
      </c>
      <c r="F60" s="820"/>
      <c r="G60" s="821"/>
      <c r="H60" s="822">
        <v>6620.9333333333325</v>
      </c>
      <c r="I60" s="820"/>
      <c r="J60" s="821"/>
      <c r="K60" s="822">
        <v>6620.9333333333325</v>
      </c>
      <c r="L60" s="820"/>
      <c r="M60" s="821"/>
      <c r="N60" s="822">
        <v>6620.9333333333325</v>
      </c>
      <c r="O60" s="820"/>
      <c r="P60" s="821"/>
      <c r="Q60" s="822">
        <v>6620.9333333333325</v>
      </c>
      <c r="R60" s="820"/>
      <c r="S60" s="821"/>
      <c r="T60" s="822">
        <v>6620.9333333333325</v>
      </c>
      <c r="U60" s="820"/>
      <c r="V60" s="821"/>
      <c r="W60" s="822">
        <v>6620.9333333333325</v>
      </c>
      <c r="X60" s="820"/>
      <c r="Y60" s="821"/>
      <c r="Z60" s="822">
        <v>6620.9333333333325</v>
      </c>
      <c r="AA60" s="820"/>
      <c r="AB60" s="821"/>
      <c r="AC60" s="822">
        <v>6620.9333333333325</v>
      </c>
      <c r="AD60" s="820"/>
      <c r="AE60" s="821"/>
      <c r="AF60" s="822">
        <v>6620.9333333333325</v>
      </c>
      <c r="AG60" s="820"/>
      <c r="AH60" s="821"/>
      <c r="AI60" s="822">
        <v>6620.9333333333325</v>
      </c>
      <c r="AJ60" s="820"/>
      <c r="AK60" s="821"/>
      <c r="AL60" s="822">
        <v>6620.9333333333325</v>
      </c>
      <c r="AM60" s="820"/>
      <c r="AN60" s="821"/>
      <c r="AO60" s="822">
        <v>6620.9333333333325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25">
      <c r="A61" s="540" t="str">
        <f t="shared" si="0"/>
        <v>Véhicules neufsInformatique</v>
      </c>
      <c r="B61" s="550" t="s">
        <v>121</v>
      </c>
      <c r="C61" s="785"/>
      <c r="D61" s="793"/>
      <c r="E61" s="807">
        <v>58539.600000000013</v>
      </c>
      <c r="F61" s="785"/>
      <c r="G61" s="793"/>
      <c r="H61" s="807">
        <v>4878.3</v>
      </c>
      <c r="I61" s="785"/>
      <c r="J61" s="793"/>
      <c r="K61" s="807">
        <v>4878.3</v>
      </c>
      <c r="L61" s="785"/>
      <c r="M61" s="793"/>
      <c r="N61" s="807">
        <v>4878.3</v>
      </c>
      <c r="O61" s="785"/>
      <c r="P61" s="793"/>
      <c r="Q61" s="807">
        <v>4878.3</v>
      </c>
      <c r="R61" s="785"/>
      <c r="S61" s="793"/>
      <c r="T61" s="807">
        <v>4878.3</v>
      </c>
      <c r="U61" s="785"/>
      <c r="V61" s="793"/>
      <c r="W61" s="807">
        <v>4878.3</v>
      </c>
      <c r="X61" s="785"/>
      <c r="Y61" s="793"/>
      <c r="Z61" s="807">
        <v>4878.3</v>
      </c>
      <c r="AA61" s="785"/>
      <c r="AB61" s="793"/>
      <c r="AC61" s="807">
        <v>4878.3</v>
      </c>
      <c r="AD61" s="785"/>
      <c r="AE61" s="793"/>
      <c r="AF61" s="807">
        <v>4878.3</v>
      </c>
      <c r="AG61" s="785"/>
      <c r="AH61" s="793"/>
      <c r="AI61" s="807">
        <v>4878.3</v>
      </c>
      <c r="AJ61" s="785"/>
      <c r="AK61" s="793"/>
      <c r="AL61" s="807">
        <v>4878.3</v>
      </c>
      <c r="AM61" s="785"/>
      <c r="AN61" s="793"/>
      <c r="AO61" s="807">
        <v>4878.3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25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9900</v>
      </c>
      <c r="F62" s="785"/>
      <c r="G62" s="793"/>
      <c r="H62" s="807">
        <v>825</v>
      </c>
      <c r="I62" s="785"/>
      <c r="J62" s="793"/>
      <c r="K62" s="807">
        <v>825</v>
      </c>
      <c r="L62" s="785"/>
      <c r="M62" s="793"/>
      <c r="N62" s="807">
        <v>825</v>
      </c>
      <c r="O62" s="785"/>
      <c r="P62" s="793"/>
      <c r="Q62" s="807">
        <v>825</v>
      </c>
      <c r="R62" s="785"/>
      <c r="S62" s="793"/>
      <c r="T62" s="807">
        <v>825</v>
      </c>
      <c r="U62" s="785"/>
      <c r="V62" s="793"/>
      <c r="W62" s="807">
        <v>825</v>
      </c>
      <c r="X62" s="785"/>
      <c r="Y62" s="793"/>
      <c r="Z62" s="807">
        <v>825</v>
      </c>
      <c r="AA62" s="785"/>
      <c r="AB62" s="793"/>
      <c r="AC62" s="807">
        <v>825</v>
      </c>
      <c r="AD62" s="785"/>
      <c r="AE62" s="793"/>
      <c r="AF62" s="807">
        <v>825</v>
      </c>
      <c r="AG62" s="785"/>
      <c r="AH62" s="793"/>
      <c r="AI62" s="807">
        <v>825</v>
      </c>
      <c r="AJ62" s="785"/>
      <c r="AK62" s="793"/>
      <c r="AL62" s="807">
        <v>825</v>
      </c>
      <c r="AM62" s="785"/>
      <c r="AN62" s="793"/>
      <c r="AO62" s="807">
        <v>825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25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39776.399999999994</v>
      </c>
      <c r="F63" s="820"/>
      <c r="G63" s="821"/>
      <c r="H63" s="822">
        <v>3314.7000000000003</v>
      </c>
      <c r="I63" s="820"/>
      <c r="J63" s="821"/>
      <c r="K63" s="822">
        <v>3314.7000000000003</v>
      </c>
      <c r="L63" s="820"/>
      <c r="M63" s="821"/>
      <c r="N63" s="822">
        <v>3314.7000000000003</v>
      </c>
      <c r="O63" s="820"/>
      <c r="P63" s="821"/>
      <c r="Q63" s="822">
        <v>3314.7000000000003</v>
      </c>
      <c r="R63" s="820"/>
      <c r="S63" s="821"/>
      <c r="T63" s="822">
        <v>3314.7000000000003</v>
      </c>
      <c r="U63" s="820"/>
      <c r="V63" s="821"/>
      <c r="W63" s="822">
        <v>3314.7000000000003</v>
      </c>
      <c r="X63" s="820"/>
      <c r="Y63" s="821"/>
      <c r="Z63" s="822">
        <v>3314.7000000000003</v>
      </c>
      <c r="AA63" s="820"/>
      <c r="AB63" s="821"/>
      <c r="AC63" s="822">
        <v>3314.7000000000003</v>
      </c>
      <c r="AD63" s="820"/>
      <c r="AE63" s="821"/>
      <c r="AF63" s="822">
        <v>3314.7000000000003</v>
      </c>
      <c r="AG63" s="820"/>
      <c r="AH63" s="821"/>
      <c r="AI63" s="822">
        <v>3314.7000000000003</v>
      </c>
      <c r="AJ63" s="820"/>
      <c r="AK63" s="821"/>
      <c r="AL63" s="822">
        <v>3314.7000000000003</v>
      </c>
      <c r="AM63" s="820"/>
      <c r="AN63" s="821"/>
      <c r="AO63" s="822">
        <v>3314.7000000000003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25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480</v>
      </c>
      <c r="F64" s="785"/>
      <c r="G64" s="793"/>
      <c r="H64" s="807">
        <v>40</v>
      </c>
      <c r="I64" s="785"/>
      <c r="J64" s="793"/>
      <c r="K64" s="807">
        <v>40</v>
      </c>
      <c r="L64" s="785"/>
      <c r="M64" s="793"/>
      <c r="N64" s="807">
        <v>40</v>
      </c>
      <c r="O64" s="785"/>
      <c r="P64" s="793"/>
      <c r="Q64" s="807">
        <v>40</v>
      </c>
      <c r="R64" s="785"/>
      <c r="S64" s="793"/>
      <c r="T64" s="807">
        <v>40</v>
      </c>
      <c r="U64" s="785"/>
      <c r="V64" s="793"/>
      <c r="W64" s="807">
        <v>40</v>
      </c>
      <c r="X64" s="785"/>
      <c r="Y64" s="793"/>
      <c r="Z64" s="807">
        <v>40</v>
      </c>
      <c r="AA64" s="785"/>
      <c r="AB64" s="793"/>
      <c r="AC64" s="807">
        <v>40</v>
      </c>
      <c r="AD64" s="785"/>
      <c r="AE64" s="793"/>
      <c r="AF64" s="807">
        <v>40</v>
      </c>
      <c r="AG64" s="785"/>
      <c r="AH64" s="793"/>
      <c r="AI64" s="807">
        <v>40</v>
      </c>
      <c r="AJ64" s="785"/>
      <c r="AK64" s="793"/>
      <c r="AL64" s="807">
        <v>40</v>
      </c>
      <c r="AM64" s="785"/>
      <c r="AN64" s="793"/>
      <c r="AO64" s="807">
        <v>40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25">
      <c r="A65" s="540" t="str">
        <f t="shared" si="0"/>
        <v>Véhicules neufsUniformes</v>
      </c>
      <c r="B65" s="550" t="s">
        <v>125</v>
      </c>
      <c r="C65" s="785"/>
      <c r="D65" s="793"/>
      <c r="E65" s="807">
        <v>360</v>
      </c>
      <c r="F65" s="785"/>
      <c r="G65" s="793"/>
      <c r="H65" s="807">
        <v>30</v>
      </c>
      <c r="I65" s="785"/>
      <c r="J65" s="793"/>
      <c r="K65" s="807">
        <v>30</v>
      </c>
      <c r="L65" s="785"/>
      <c r="M65" s="793"/>
      <c r="N65" s="807">
        <v>30</v>
      </c>
      <c r="O65" s="785"/>
      <c r="P65" s="793"/>
      <c r="Q65" s="807">
        <v>30</v>
      </c>
      <c r="R65" s="785"/>
      <c r="S65" s="793"/>
      <c r="T65" s="807">
        <v>30</v>
      </c>
      <c r="U65" s="785"/>
      <c r="V65" s="793"/>
      <c r="W65" s="807">
        <v>30</v>
      </c>
      <c r="X65" s="785"/>
      <c r="Y65" s="793"/>
      <c r="Z65" s="807">
        <v>30</v>
      </c>
      <c r="AA65" s="785"/>
      <c r="AB65" s="793"/>
      <c r="AC65" s="807">
        <v>30</v>
      </c>
      <c r="AD65" s="785"/>
      <c r="AE65" s="793"/>
      <c r="AF65" s="807">
        <v>30</v>
      </c>
      <c r="AG65" s="785"/>
      <c r="AH65" s="793"/>
      <c r="AI65" s="807">
        <v>30</v>
      </c>
      <c r="AJ65" s="785"/>
      <c r="AK65" s="793"/>
      <c r="AL65" s="807">
        <v>30</v>
      </c>
      <c r="AM65" s="785"/>
      <c r="AN65" s="793"/>
      <c r="AO65" s="807">
        <v>30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25">
      <c r="A66" s="540" t="str">
        <f t="shared" si="0"/>
        <v>Véhicules neufsPapeterie</v>
      </c>
      <c r="B66" s="550" t="s">
        <v>126</v>
      </c>
      <c r="C66" s="785"/>
      <c r="D66" s="793"/>
      <c r="E66" s="807">
        <v>8505</v>
      </c>
      <c r="F66" s="785"/>
      <c r="G66" s="793"/>
      <c r="H66" s="807">
        <v>708.75</v>
      </c>
      <c r="I66" s="785"/>
      <c r="J66" s="793"/>
      <c r="K66" s="807">
        <v>708.75</v>
      </c>
      <c r="L66" s="785"/>
      <c r="M66" s="793"/>
      <c r="N66" s="807">
        <v>708.75</v>
      </c>
      <c r="O66" s="785"/>
      <c r="P66" s="793"/>
      <c r="Q66" s="807">
        <v>708.75</v>
      </c>
      <c r="R66" s="785"/>
      <c r="S66" s="793"/>
      <c r="T66" s="807">
        <v>708.75</v>
      </c>
      <c r="U66" s="785"/>
      <c r="V66" s="793"/>
      <c r="W66" s="807">
        <v>708.75</v>
      </c>
      <c r="X66" s="785"/>
      <c r="Y66" s="793"/>
      <c r="Z66" s="807">
        <v>708.75</v>
      </c>
      <c r="AA66" s="785"/>
      <c r="AB66" s="793"/>
      <c r="AC66" s="807">
        <v>708.75</v>
      </c>
      <c r="AD66" s="785"/>
      <c r="AE66" s="793"/>
      <c r="AF66" s="807">
        <v>708.75</v>
      </c>
      <c r="AG66" s="785"/>
      <c r="AH66" s="793"/>
      <c r="AI66" s="807">
        <v>708.75</v>
      </c>
      <c r="AJ66" s="785"/>
      <c r="AK66" s="793"/>
      <c r="AL66" s="807">
        <v>708.75</v>
      </c>
      <c r="AM66" s="785"/>
      <c r="AN66" s="793"/>
      <c r="AO66" s="807">
        <v>708.75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25">
      <c r="A67" s="540" t="str">
        <f t="shared" si="0"/>
        <v>Véhicules neufsTéléphone</v>
      </c>
      <c r="B67" s="550" t="s">
        <v>127</v>
      </c>
      <c r="C67" s="785"/>
      <c r="D67" s="793"/>
      <c r="E67" s="807">
        <v>2524.8000000000006</v>
      </c>
      <c r="F67" s="785"/>
      <c r="G67" s="793"/>
      <c r="H67" s="807">
        <v>210.4</v>
      </c>
      <c r="I67" s="785"/>
      <c r="J67" s="793"/>
      <c r="K67" s="807">
        <v>210.4</v>
      </c>
      <c r="L67" s="785"/>
      <c r="M67" s="793"/>
      <c r="N67" s="807">
        <v>210.4</v>
      </c>
      <c r="O67" s="785"/>
      <c r="P67" s="793"/>
      <c r="Q67" s="807">
        <v>210.4</v>
      </c>
      <c r="R67" s="785"/>
      <c r="S67" s="793"/>
      <c r="T67" s="807">
        <v>210.4</v>
      </c>
      <c r="U67" s="785"/>
      <c r="V67" s="793"/>
      <c r="W67" s="807">
        <v>210.4</v>
      </c>
      <c r="X67" s="785"/>
      <c r="Y67" s="793"/>
      <c r="Z67" s="807">
        <v>210.4</v>
      </c>
      <c r="AA67" s="785"/>
      <c r="AB67" s="793"/>
      <c r="AC67" s="807">
        <v>210.4</v>
      </c>
      <c r="AD67" s="785"/>
      <c r="AE67" s="793"/>
      <c r="AF67" s="807">
        <v>210.4</v>
      </c>
      <c r="AG67" s="785"/>
      <c r="AH67" s="793"/>
      <c r="AI67" s="807">
        <v>210.4</v>
      </c>
      <c r="AJ67" s="785"/>
      <c r="AK67" s="793"/>
      <c r="AL67" s="807">
        <v>210.4</v>
      </c>
      <c r="AM67" s="785"/>
      <c r="AN67" s="793"/>
      <c r="AO67" s="807">
        <v>210.4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25">
      <c r="A68" s="540" t="str">
        <f t="shared" si="0"/>
        <v>Véhicules neufsFrais postaux</v>
      </c>
      <c r="B68" s="550" t="s">
        <v>128</v>
      </c>
      <c r="C68" s="785"/>
      <c r="D68" s="793"/>
      <c r="E68" s="807">
        <v>2430</v>
      </c>
      <c r="F68" s="785"/>
      <c r="G68" s="793"/>
      <c r="H68" s="807">
        <v>202.5</v>
      </c>
      <c r="I68" s="785"/>
      <c r="J68" s="793"/>
      <c r="K68" s="807">
        <v>202.5</v>
      </c>
      <c r="L68" s="785"/>
      <c r="M68" s="793"/>
      <c r="N68" s="807">
        <v>202.5</v>
      </c>
      <c r="O68" s="785"/>
      <c r="P68" s="793"/>
      <c r="Q68" s="807">
        <v>202.5</v>
      </c>
      <c r="R68" s="785"/>
      <c r="S68" s="793"/>
      <c r="T68" s="807">
        <v>202.5</v>
      </c>
      <c r="U68" s="785"/>
      <c r="V68" s="793"/>
      <c r="W68" s="807">
        <v>202.5</v>
      </c>
      <c r="X68" s="785"/>
      <c r="Y68" s="793"/>
      <c r="Z68" s="807">
        <v>202.5</v>
      </c>
      <c r="AA68" s="785"/>
      <c r="AB68" s="793"/>
      <c r="AC68" s="807">
        <v>202.5</v>
      </c>
      <c r="AD68" s="785"/>
      <c r="AE68" s="793"/>
      <c r="AF68" s="807">
        <v>202.5</v>
      </c>
      <c r="AG68" s="785"/>
      <c r="AH68" s="793"/>
      <c r="AI68" s="807">
        <v>202.5</v>
      </c>
      <c r="AJ68" s="785"/>
      <c r="AK68" s="793"/>
      <c r="AL68" s="807">
        <v>202.5</v>
      </c>
      <c r="AM68" s="785"/>
      <c r="AN68" s="793"/>
      <c r="AO68" s="807">
        <v>202.5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25">
      <c r="A69" s="540" t="str">
        <f t="shared" si="0"/>
        <v>Véhicules neufsDivers</v>
      </c>
      <c r="B69" s="550" t="s">
        <v>129</v>
      </c>
      <c r="C69" s="785"/>
      <c r="D69" s="793"/>
      <c r="E69" s="807">
        <v>9401.4</v>
      </c>
      <c r="F69" s="785"/>
      <c r="G69" s="793"/>
      <c r="H69" s="807">
        <v>783.45</v>
      </c>
      <c r="I69" s="785"/>
      <c r="J69" s="793"/>
      <c r="K69" s="807">
        <v>783.45</v>
      </c>
      <c r="L69" s="785"/>
      <c r="M69" s="793"/>
      <c r="N69" s="807">
        <v>783.45</v>
      </c>
      <c r="O69" s="785"/>
      <c r="P69" s="793"/>
      <c r="Q69" s="807">
        <v>783.45</v>
      </c>
      <c r="R69" s="785"/>
      <c r="S69" s="793"/>
      <c r="T69" s="807">
        <v>783.45</v>
      </c>
      <c r="U69" s="785"/>
      <c r="V69" s="793"/>
      <c r="W69" s="807">
        <v>783.45</v>
      </c>
      <c r="X69" s="785"/>
      <c r="Y69" s="793"/>
      <c r="Z69" s="807">
        <v>783.45</v>
      </c>
      <c r="AA69" s="785"/>
      <c r="AB69" s="793"/>
      <c r="AC69" s="807">
        <v>783.45</v>
      </c>
      <c r="AD69" s="785"/>
      <c r="AE69" s="793"/>
      <c r="AF69" s="807">
        <v>783.45</v>
      </c>
      <c r="AG69" s="785"/>
      <c r="AH69" s="793"/>
      <c r="AI69" s="807">
        <v>783.45</v>
      </c>
      <c r="AJ69" s="785"/>
      <c r="AK69" s="793"/>
      <c r="AL69" s="807">
        <v>783.45</v>
      </c>
      <c r="AM69" s="785"/>
      <c r="AN69" s="793"/>
      <c r="AO69" s="807">
        <v>783.45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25">
      <c r="A70" s="540" t="str">
        <f t="shared" si="0"/>
        <v>Véhicules neufsFormation</v>
      </c>
      <c r="B70" s="550" t="s">
        <v>130</v>
      </c>
      <c r="C70" s="785"/>
      <c r="D70" s="793"/>
      <c r="E70" s="807">
        <v>6698.2021199999981</v>
      </c>
      <c r="F70" s="785"/>
      <c r="G70" s="793"/>
      <c r="H70" s="807">
        <v>558.18350999999984</v>
      </c>
      <c r="I70" s="785"/>
      <c r="J70" s="793"/>
      <c r="K70" s="807">
        <v>558.18350999999984</v>
      </c>
      <c r="L70" s="785"/>
      <c r="M70" s="793"/>
      <c r="N70" s="807">
        <v>558.18350999999984</v>
      </c>
      <c r="O70" s="785"/>
      <c r="P70" s="793"/>
      <c r="Q70" s="807">
        <v>558.18350999999984</v>
      </c>
      <c r="R70" s="785"/>
      <c r="S70" s="793"/>
      <c r="T70" s="807">
        <v>558.18350999999984</v>
      </c>
      <c r="U70" s="785"/>
      <c r="V70" s="793"/>
      <c r="W70" s="807">
        <v>558.18350999999984</v>
      </c>
      <c r="X70" s="785"/>
      <c r="Y70" s="793"/>
      <c r="Z70" s="807">
        <v>558.18350999999984</v>
      </c>
      <c r="AA70" s="785"/>
      <c r="AB70" s="793"/>
      <c r="AC70" s="807">
        <v>558.18350999999984</v>
      </c>
      <c r="AD70" s="785"/>
      <c r="AE70" s="793"/>
      <c r="AF70" s="807">
        <v>558.18350999999984</v>
      </c>
      <c r="AG70" s="785"/>
      <c r="AH70" s="793"/>
      <c r="AI70" s="807">
        <v>558.18350999999984</v>
      </c>
      <c r="AJ70" s="785"/>
      <c r="AK70" s="793"/>
      <c r="AL70" s="807">
        <v>558.18350999999984</v>
      </c>
      <c r="AM70" s="785"/>
      <c r="AN70" s="793"/>
      <c r="AO70" s="807">
        <v>558.18350999999984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25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35336.857952647064</v>
      </c>
      <c r="F71" s="785"/>
      <c r="G71" s="793"/>
      <c r="H71" s="807">
        <v>1978.1525336525144</v>
      </c>
      <c r="I71" s="785"/>
      <c r="J71" s="793"/>
      <c r="K71" s="807">
        <v>1924.5834983479594</v>
      </c>
      <c r="L71" s="785"/>
      <c r="M71" s="793"/>
      <c r="N71" s="807">
        <v>3086.10640119767</v>
      </c>
      <c r="O71" s="785"/>
      <c r="P71" s="793"/>
      <c r="Q71" s="807">
        <v>4083.3970470364588</v>
      </c>
      <c r="R71" s="785"/>
      <c r="S71" s="793"/>
      <c r="T71" s="807">
        <v>4231.9164480094214</v>
      </c>
      <c r="U71" s="785"/>
      <c r="V71" s="793"/>
      <c r="W71" s="807">
        <v>2960.1436751398351</v>
      </c>
      <c r="X71" s="785"/>
      <c r="Y71" s="793"/>
      <c r="Z71" s="807">
        <v>2687.6325692189189</v>
      </c>
      <c r="AA71" s="785"/>
      <c r="AB71" s="793"/>
      <c r="AC71" s="807">
        <v>3142.637042597662</v>
      </c>
      <c r="AD71" s="785"/>
      <c r="AE71" s="793"/>
      <c r="AF71" s="807">
        <v>3122.0301003257127</v>
      </c>
      <c r="AG71" s="785"/>
      <c r="AH71" s="793"/>
      <c r="AI71" s="807">
        <v>3106.8634265171104</v>
      </c>
      <c r="AJ71" s="785"/>
      <c r="AK71" s="793"/>
      <c r="AL71" s="807">
        <v>2870.8287847472384</v>
      </c>
      <c r="AM71" s="785"/>
      <c r="AN71" s="793"/>
      <c r="AO71" s="807">
        <v>2142.5664258565575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25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25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25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25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0.17112836482978366</v>
      </c>
      <c r="E75" s="814">
        <v>253403.46007264705</v>
      </c>
      <c r="F75" s="812" t="s">
        <v>108</v>
      </c>
      <c r="G75" s="813">
        <v>0.24613803904923015</v>
      </c>
      <c r="H75" s="814">
        <v>20150.369376985851</v>
      </c>
      <c r="I75" s="812" t="s">
        <v>108</v>
      </c>
      <c r="J75" s="813">
        <v>0.28714812332018902</v>
      </c>
      <c r="K75" s="814">
        <v>20096.800341681294</v>
      </c>
      <c r="L75" s="812" t="s">
        <v>108</v>
      </c>
      <c r="M75" s="813">
        <v>0.15565108480162673</v>
      </c>
      <c r="N75" s="814">
        <v>21258.323244531006</v>
      </c>
      <c r="O75" s="812" t="s">
        <v>108</v>
      </c>
      <c r="P75" s="813">
        <v>0.12751740279552984</v>
      </c>
      <c r="Q75" s="814">
        <v>22255.613890369794</v>
      </c>
      <c r="R75" s="812" t="s">
        <v>108</v>
      </c>
      <c r="S75" s="813">
        <v>0.11504528084135418</v>
      </c>
      <c r="T75" s="814">
        <v>22404.133291342758</v>
      </c>
      <c r="U75" s="812" t="s">
        <v>108</v>
      </c>
      <c r="V75" s="813">
        <v>0.16842399473721825</v>
      </c>
      <c r="W75" s="814">
        <v>21132.360518473171</v>
      </c>
      <c r="X75" s="812" t="s">
        <v>108</v>
      </c>
      <c r="Y75" s="813">
        <v>0.22346104900784408</v>
      </c>
      <c r="Z75" s="814">
        <v>20859.849412552256</v>
      </c>
      <c r="AA75" s="812" t="s">
        <v>108</v>
      </c>
      <c r="AB75" s="813">
        <v>0.17779926511473376</v>
      </c>
      <c r="AC75" s="814">
        <v>21314.853885930999</v>
      </c>
      <c r="AD75" s="812" t="s">
        <v>108</v>
      </c>
      <c r="AE75" s="813">
        <v>0.15691804492068614</v>
      </c>
      <c r="AF75" s="814">
        <v>21294.246943659047</v>
      </c>
      <c r="AG75" s="812" t="s">
        <v>108</v>
      </c>
      <c r="AH75" s="813">
        <v>0.15583136186879035</v>
      </c>
      <c r="AI75" s="814">
        <v>21279.080269850445</v>
      </c>
      <c r="AJ75" s="812" t="s">
        <v>108</v>
      </c>
      <c r="AK75" s="813">
        <v>0.1861175577488535</v>
      </c>
      <c r="AL75" s="814">
        <v>21043.045628080574</v>
      </c>
      <c r="AM75" s="812" t="s">
        <v>108</v>
      </c>
      <c r="AN75" s="813">
        <v>0.20508011691836919</v>
      </c>
      <c r="AO75" s="814">
        <v>20314.783269189895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25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25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1.1609470461723823</v>
      </c>
      <c r="E77" s="823">
        <v>1719107.1670311403</v>
      </c>
      <c r="F77" s="812" t="s">
        <v>108</v>
      </c>
      <c r="G77" s="813">
        <v>1.5437556998360353</v>
      </c>
      <c r="H77" s="823">
        <v>126381.30903976868</v>
      </c>
      <c r="I77" s="812" t="s">
        <v>108</v>
      </c>
      <c r="J77" s="813">
        <v>1.635614769576073</v>
      </c>
      <c r="K77" s="823">
        <v>114472.70864947457</v>
      </c>
      <c r="L77" s="812" t="s">
        <v>108</v>
      </c>
      <c r="M77" s="813">
        <v>1.1074182892398556</v>
      </c>
      <c r="N77" s="823">
        <v>151247.61892645893</v>
      </c>
      <c r="O77" s="812" t="s">
        <v>108</v>
      </c>
      <c r="P77" s="813">
        <v>0.99034140421851313</v>
      </c>
      <c r="Q77" s="823">
        <v>172844.29755266715</v>
      </c>
      <c r="R77" s="812" t="s">
        <v>108</v>
      </c>
      <c r="S77" s="813">
        <v>0.93128299003290582</v>
      </c>
      <c r="T77" s="823">
        <v>181359.79231889942</v>
      </c>
      <c r="U77" s="812" t="s">
        <v>108</v>
      </c>
      <c r="V77" s="813">
        <v>1.1321992479444722</v>
      </c>
      <c r="W77" s="823">
        <v>142058.39686700897</v>
      </c>
      <c r="X77" s="812" t="s">
        <v>108</v>
      </c>
      <c r="Y77" s="813">
        <v>1.3845595232871277</v>
      </c>
      <c r="Z77" s="823">
        <v>129247.14748596206</v>
      </c>
      <c r="AA77" s="812" t="s">
        <v>108</v>
      </c>
      <c r="AB77" s="813">
        <v>1.1665491178818546</v>
      </c>
      <c r="AC77" s="823">
        <v>139847.73211727376</v>
      </c>
      <c r="AD77" s="812" t="s">
        <v>108</v>
      </c>
      <c r="AE77" s="813">
        <v>1.0950770491393365</v>
      </c>
      <c r="AF77" s="823">
        <v>148605.22330935829</v>
      </c>
      <c r="AG77" s="812" t="s">
        <v>108</v>
      </c>
      <c r="AH77" s="813">
        <v>1.0935791090485656</v>
      </c>
      <c r="AI77" s="823">
        <v>149330.38743811756</v>
      </c>
      <c r="AJ77" s="812" t="s">
        <v>108</v>
      </c>
      <c r="AK77" s="813">
        <v>1.1633639887971099</v>
      </c>
      <c r="AL77" s="823">
        <v>131533.64891751704</v>
      </c>
      <c r="AM77" s="812" t="s">
        <v>108</v>
      </c>
      <c r="AN77" s="813">
        <v>1.3343615243671532</v>
      </c>
      <c r="AO77" s="823">
        <v>132178.90440863383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25">
      <c r="A78" s="540" t="str">
        <f t="shared" si="1"/>
        <v>Véhicules neufsRBSC neuf</v>
      </c>
      <c r="B78" s="251" t="s">
        <v>393</v>
      </c>
      <c r="C78" s="785"/>
      <c r="D78" s="793"/>
      <c r="E78" s="807">
        <v>435312.80699999997</v>
      </c>
      <c r="F78" s="785"/>
      <c r="G78" s="793"/>
      <c r="H78" s="807">
        <v>23744.334927272728</v>
      </c>
      <c r="I78" s="785"/>
      <c r="J78" s="793"/>
      <c r="K78" s="807">
        <v>20578.423603636365</v>
      </c>
      <c r="L78" s="785"/>
      <c r="M78" s="793"/>
      <c r="N78" s="807">
        <v>41156.847207272731</v>
      </c>
      <c r="O78" s="785"/>
      <c r="P78" s="793"/>
      <c r="Q78" s="807">
        <v>52237.536840000001</v>
      </c>
      <c r="R78" s="785"/>
      <c r="S78" s="793"/>
      <c r="T78" s="807">
        <v>56986.403825454545</v>
      </c>
      <c r="U78" s="785"/>
      <c r="V78" s="793"/>
      <c r="W78" s="807">
        <v>36407.980221818179</v>
      </c>
      <c r="X78" s="785"/>
      <c r="Y78" s="793"/>
      <c r="Z78" s="807">
        <v>26910.246250909091</v>
      </c>
      <c r="AA78" s="785"/>
      <c r="AB78" s="793"/>
      <c r="AC78" s="807">
        <v>34825.024559999998</v>
      </c>
      <c r="AD78" s="785"/>
      <c r="AE78" s="793"/>
      <c r="AF78" s="807">
        <v>41156.847207272731</v>
      </c>
      <c r="AG78" s="785"/>
      <c r="AH78" s="793"/>
      <c r="AI78" s="807">
        <v>39573.891545454549</v>
      </c>
      <c r="AJ78" s="785"/>
      <c r="AK78" s="793"/>
      <c r="AL78" s="807">
        <v>33242.068898181817</v>
      </c>
      <c r="AM78" s="785"/>
      <c r="AN78" s="793"/>
      <c r="AO78" s="807">
        <v>28493.201912727272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25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25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25">
      <c r="A81" s="540" t="str">
        <f t="shared" si="1"/>
        <v>Véhicules neufsHoldbacks</v>
      </c>
      <c r="B81" s="550" t="s">
        <v>136</v>
      </c>
      <c r="C81" s="785"/>
      <c r="D81" s="793"/>
      <c r="E81" s="807">
        <v>470608.44</v>
      </c>
      <c r="F81" s="785"/>
      <c r="G81" s="793"/>
      <c r="H81" s="807">
        <v>25669.551272727276</v>
      </c>
      <c r="I81" s="785"/>
      <c r="J81" s="793"/>
      <c r="K81" s="807">
        <v>22246.944436363639</v>
      </c>
      <c r="L81" s="785"/>
      <c r="M81" s="793"/>
      <c r="N81" s="807">
        <v>44493.888872727279</v>
      </c>
      <c r="O81" s="785"/>
      <c r="P81" s="793"/>
      <c r="Q81" s="807">
        <v>56473.012800000004</v>
      </c>
      <c r="R81" s="785"/>
      <c r="S81" s="793"/>
      <c r="T81" s="807">
        <v>61606.923054545456</v>
      </c>
      <c r="U81" s="785"/>
      <c r="V81" s="793"/>
      <c r="W81" s="807">
        <v>39359.97861818182</v>
      </c>
      <c r="X81" s="785"/>
      <c r="Y81" s="793"/>
      <c r="Z81" s="807">
        <v>29092.158109090909</v>
      </c>
      <c r="AA81" s="785"/>
      <c r="AB81" s="793"/>
      <c r="AC81" s="807">
        <v>37648.675199999998</v>
      </c>
      <c r="AD81" s="785"/>
      <c r="AE81" s="793"/>
      <c r="AF81" s="807">
        <v>44493.888872727279</v>
      </c>
      <c r="AG81" s="785"/>
      <c r="AH81" s="793"/>
      <c r="AI81" s="807">
        <v>42782.585454545457</v>
      </c>
      <c r="AJ81" s="785"/>
      <c r="AK81" s="793"/>
      <c r="AL81" s="807">
        <v>35937.371781818183</v>
      </c>
      <c r="AM81" s="785"/>
      <c r="AN81" s="793"/>
      <c r="AO81" s="807">
        <v>30803.461527272728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25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25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25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25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159412.4</v>
      </c>
      <c r="F85" s="785"/>
      <c r="G85" s="793"/>
      <c r="H85" s="807">
        <v>8791.125</v>
      </c>
      <c r="I85" s="785"/>
      <c r="J85" s="793"/>
      <c r="K85" s="807">
        <v>7618.9749999999995</v>
      </c>
      <c r="L85" s="785"/>
      <c r="M85" s="793"/>
      <c r="N85" s="807">
        <v>14651.875</v>
      </c>
      <c r="O85" s="785"/>
      <c r="P85" s="793"/>
      <c r="Q85" s="807">
        <v>18754.400000000001</v>
      </c>
      <c r="R85" s="785"/>
      <c r="S85" s="793"/>
      <c r="T85" s="807">
        <v>21098.7</v>
      </c>
      <c r="U85" s="785"/>
      <c r="V85" s="793"/>
      <c r="W85" s="807">
        <v>13479.725</v>
      </c>
      <c r="X85" s="785"/>
      <c r="Y85" s="793"/>
      <c r="Z85" s="807">
        <v>9963.2749999999996</v>
      </c>
      <c r="AA85" s="785"/>
      <c r="AB85" s="793"/>
      <c r="AC85" s="807">
        <v>12893.65</v>
      </c>
      <c r="AD85" s="785"/>
      <c r="AE85" s="793"/>
      <c r="AF85" s="807">
        <v>14651.875</v>
      </c>
      <c r="AG85" s="785"/>
      <c r="AH85" s="793"/>
      <c r="AI85" s="807">
        <v>14651.875</v>
      </c>
      <c r="AJ85" s="785"/>
      <c r="AK85" s="793"/>
      <c r="AL85" s="807">
        <v>12307.575000000001</v>
      </c>
      <c r="AM85" s="785"/>
      <c r="AN85" s="793"/>
      <c r="AO85" s="807">
        <v>10549.35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0.25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1065333.6469999999</v>
      </c>
      <c r="F86" s="824"/>
      <c r="G86" s="825"/>
      <c r="H86" s="826">
        <v>58205.011200000008</v>
      </c>
      <c r="I86" s="824"/>
      <c r="J86" s="825"/>
      <c r="K86" s="826">
        <v>50444.34304</v>
      </c>
      <c r="L86" s="824"/>
      <c r="M86" s="825"/>
      <c r="N86" s="826">
        <v>100302.61108</v>
      </c>
      <c r="O86" s="824"/>
      <c r="P86" s="825"/>
      <c r="Q86" s="826">
        <v>127464.94964000001</v>
      </c>
      <c r="R86" s="824"/>
      <c r="S86" s="825"/>
      <c r="T86" s="826">
        <v>139692.02688000002</v>
      </c>
      <c r="U86" s="824"/>
      <c r="V86" s="825"/>
      <c r="W86" s="826">
        <v>89247.683840000012</v>
      </c>
      <c r="X86" s="824"/>
      <c r="Y86" s="825"/>
      <c r="Z86" s="826">
        <v>65965.679359999995</v>
      </c>
      <c r="AA86" s="824"/>
      <c r="AB86" s="825"/>
      <c r="AC86" s="826">
        <v>85367.349759999983</v>
      </c>
      <c r="AD86" s="824"/>
      <c r="AE86" s="825"/>
      <c r="AF86" s="826">
        <v>100302.61108</v>
      </c>
      <c r="AG86" s="824"/>
      <c r="AH86" s="825"/>
      <c r="AI86" s="826">
        <v>97008.352000000014</v>
      </c>
      <c r="AJ86" s="824"/>
      <c r="AK86" s="825"/>
      <c r="AL86" s="826">
        <v>81487.015679999997</v>
      </c>
      <c r="AM86" s="824"/>
      <c r="AN86" s="825"/>
      <c r="AO86" s="826">
        <v>69846.01344000001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0.25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827006.47996885958</v>
      </c>
      <c r="F88" s="830"/>
      <c r="G88" s="831"/>
      <c r="H88" s="832">
        <v>13689.834899493013</v>
      </c>
      <c r="I88" s="830"/>
      <c r="J88" s="831"/>
      <c r="K88" s="832">
        <v>5959.2077352832493</v>
      </c>
      <c r="L88" s="830"/>
      <c r="M88" s="831"/>
      <c r="N88" s="832">
        <v>85631.767520215741</v>
      </c>
      <c r="O88" s="830"/>
      <c r="P88" s="831"/>
      <c r="Q88" s="832">
        <v>129150.6644814527</v>
      </c>
      <c r="R88" s="830"/>
      <c r="S88" s="831"/>
      <c r="T88" s="832">
        <v>153074.10600072742</v>
      </c>
      <c r="U88" s="830"/>
      <c r="V88" s="831"/>
      <c r="W88" s="832">
        <v>72660.485726142055</v>
      </c>
      <c r="X88" s="830"/>
      <c r="Y88" s="831"/>
      <c r="Z88" s="832">
        <v>30067.460043707528</v>
      </c>
      <c r="AA88" s="830"/>
      <c r="AB88" s="831"/>
      <c r="AC88" s="832">
        <v>65401.181113624349</v>
      </c>
      <c r="AD88" s="830"/>
      <c r="AE88" s="831"/>
      <c r="AF88" s="832">
        <v>87400.37179916547</v>
      </c>
      <c r="AG88" s="830"/>
      <c r="AH88" s="831"/>
      <c r="AI88" s="832">
        <v>84229.939816821076</v>
      </c>
      <c r="AJ88" s="830"/>
      <c r="AK88" s="831"/>
      <c r="AL88" s="832">
        <v>63016.561243446427</v>
      </c>
      <c r="AM88" s="830"/>
      <c r="AN88" s="831"/>
      <c r="AO88" s="832">
        <v>36724.899588780696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3.25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3.25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25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25">
      <c r="A92" s="540"/>
      <c r="B92" s="618" t="s">
        <v>2934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" thickTop="1">
      <c r="A94" s="540"/>
      <c r="B94" s="658" t="s">
        <v>293</v>
      </c>
      <c r="C94" s="768">
        <v>2025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25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25">
      <c r="A96" s="540" t="str">
        <f>+$C$92&amp;B96</f>
        <v>Véhicules usagésVentes nettes</v>
      </c>
      <c r="B96" s="610" t="s">
        <v>85</v>
      </c>
      <c r="C96" s="774"/>
      <c r="D96" s="775"/>
      <c r="E96" s="839">
        <v>17054705.882352937</v>
      </c>
      <c r="F96" s="774"/>
      <c r="G96" s="775"/>
      <c r="H96" s="839">
        <v>950117.6470588235</v>
      </c>
      <c r="I96" s="774"/>
      <c r="J96" s="775"/>
      <c r="K96" s="839">
        <v>1083647.0588235294</v>
      </c>
      <c r="L96" s="774"/>
      <c r="M96" s="775"/>
      <c r="N96" s="839">
        <v>1377176.4705882352</v>
      </c>
      <c r="O96" s="774"/>
      <c r="P96" s="775"/>
      <c r="Q96" s="839">
        <v>2001764.705882353</v>
      </c>
      <c r="R96" s="774"/>
      <c r="S96" s="775"/>
      <c r="T96" s="839">
        <v>1804235.294117647</v>
      </c>
      <c r="U96" s="774"/>
      <c r="V96" s="775"/>
      <c r="W96" s="839">
        <v>1409176.4705882352</v>
      </c>
      <c r="X96" s="774"/>
      <c r="Y96" s="775"/>
      <c r="Z96" s="839">
        <v>1606705.8823529412</v>
      </c>
      <c r="AA96" s="774"/>
      <c r="AB96" s="775"/>
      <c r="AC96" s="839">
        <v>1804235.294117647</v>
      </c>
      <c r="AD96" s="774"/>
      <c r="AE96" s="775"/>
      <c r="AF96" s="839">
        <v>1409176.4705882352</v>
      </c>
      <c r="AG96" s="774"/>
      <c r="AH96" s="775"/>
      <c r="AI96" s="839">
        <v>1377176.4705882352</v>
      </c>
      <c r="AJ96" s="774"/>
      <c r="AK96" s="775"/>
      <c r="AL96" s="839">
        <v>1345176.4705882352</v>
      </c>
      <c r="AM96" s="774"/>
      <c r="AN96" s="775"/>
      <c r="AO96" s="839">
        <v>886117.6470588235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25">
      <c r="A97" s="540" t="str">
        <f t="shared" ref="A97:A162" si="2">+$C$92&amp;B97</f>
        <v>Véhicules usagésCertifié</v>
      </c>
      <c r="B97" s="550" t="s">
        <v>141</v>
      </c>
      <c r="C97" s="777">
        <v>75</v>
      </c>
      <c r="D97" s="778">
        <v>2300</v>
      </c>
      <c r="E97" s="779">
        <v>172500</v>
      </c>
      <c r="F97" s="777">
        <v>4</v>
      </c>
      <c r="G97" s="778">
        <v>2300</v>
      </c>
      <c r="H97" s="779">
        <v>9200</v>
      </c>
      <c r="I97" s="777">
        <v>5</v>
      </c>
      <c r="J97" s="778">
        <v>2300</v>
      </c>
      <c r="K97" s="779">
        <v>11500</v>
      </c>
      <c r="L97" s="777">
        <v>6</v>
      </c>
      <c r="M97" s="778">
        <v>2300</v>
      </c>
      <c r="N97" s="779">
        <v>13800</v>
      </c>
      <c r="O97" s="777">
        <v>9</v>
      </c>
      <c r="P97" s="778">
        <v>2300</v>
      </c>
      <c r="Q97" s="779">
        <v>20700</v>
      </c>
      <c r="R97" s="777">
        <v>8</v>
      </c>
      <c r="S97" s="778">
        <v>2300</v>
      </c>
      <c r="T97" s="779">
        <v>18400</v>
      </c>
      <c r="U97" s="777">
        <v>6</v>
      </c>
      <c r="V97" s="778">
        <v>2300</v>
      </c>
      <c r="W97" s="779">
        <v>13800</v>
      </c>
      <c r="X97" s="777">
        <v>7</v>
      </c>
      <c r="Y97" s="778">
        <v>2300</v>
      </c>
      <c r="Z97" s="779">
        <v>16100</v>
      </c>
      <c r="AA97" s="777">
        <v>8</v>
      </c>
      <c r="AB97" s="778">
        <v>2300</v>
      </c>
      <c r="AC97" s="779">
        <v>18400</v>
      </c>
      <c r="AD97" s="777">
        <v>6</v>
      </c>
      <c r="AE97" s="778">
        <v>2300</v>
      </c>
      <c r="AF97" s="779">
        <v>13800</v>
      </c>
      <c r="AG97" s="777">
        <v>6</v>
      </c>
      <c r="AH97" s="778">
        <v>2300</v>
      </c>
      <c r="AI97" s="779">
        <v>13800</v>
      </c>
      <c r="AJ97" s="777">
        <v>6</v>
      </c>
      <c r="AK97" s="778">
        <v>2300</v>
      </c>
      <c r="AL97" s="779">
        <v>13800</v>
      </c>
      <c r="AM97" s="777">
        <v>4</v>
      </c>
      <c r="AN97" s="778">
        <v>2300</v>
      </c>
      <c r="AO97" s="779">
        <v>9200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25">
      <c r="A98" s="540" t="str">
        <f t="shared" si="2"/>
        <v>Véhicules usagésNon Certifié</v>
      </c>
      <c r="B98" s="550" t="s">
        <v>142</v>
      </c>
      <c r="C98" s="777">
        <v>75</v>
      </c>
      <c r="D98" s="778">
        <v>1600</v>
      </c>
      <c r="E98" s="779">
        <v>120000</v>
      </c>
      <c r="F98" s="777">
        <v>4</v>
      </c>
      <c r="G98" s="778">
        <v>1600</v>
      </c>
      <c r="H98" s="779">
        <v>6400</v>
      </c>
      <c r="I98" s="777">
        <v>5</v>
      </c>
      <c r="J98" s="778">
        <v>1600</v>
      </c>
      <c r="K98" s="779">
        <v>8000</v>
      </c>
      <c r="L98" s="777">
        <v>6</v>
      </c>
      <c r="M98" s="778">
        <v>1600</v>
      </c>
      <c r="N98" s="779">
        <v>9600</v>
      </c>
      <c r="O98" s="777">
        <v>9</v>
      </c>
      <c r="P98" s="778">
        <v>1600</v>
      </c>
      <c r="Q98" s="779">
        <v>14400</v>
      </c>
      <c r="R98" s="777">
        <v>8</v>
      </c>
      <c r="S98" s="778">
        <v>1600</v>
      </c>
      <c r="T98" s="779">
        <v>12800</v>
      </c>
      <c r="U98" s="777">
        <v>6</v>
      </c>
      <c r="V98" s="778">
        <v>1600</v>
      </c>
      <c r="W98" s="779">
        <v>9600</v>
      </c>
      <c r="X98" s="777">
        <v>7</v>
      </c>
      <c r="Y98" s="778">
        <v>1600</v>
      </c>
      <c r="Z98" s="779">
        <v>11200</v>
      </c>
      <c r="AA98" s="777">
        <v>8</v>
      </c>
      <c r="AB98" s="778">
        <v>1600</v>
      </c>
      <c r="AC98" s="779">
        <v>12800</v>
      </c>
      <c r="AD98" s="777">
        <v>6</v>
      </c>
      <c r="AE98" s="778">
        <v>1600</v>
      </c>
      <c r="AF98" s="779">
        <v>9600</v>
      </c>
      <c r="AG98" s="777">
        <v>6</v>
      </c>
      <c r="AH98" s="778">
        <v>1600</v>
      </c>
      <c r="AI98" s="779">
        <v>9600</v>
      </c>
      <c r="AJ98" s="777">
        <v>6</v>
      </c>
      <c r="AK98" s="778">
        <v>1600</v>
      </c>
      <c r="AL98" s="779">
        <v>9600</v>
      </c>
      <c r="AM98" s="777">
        <v>4</v>
      </c>
      <c r="AN98" s="778">
        <v>1600</v>
      </c>
      <c r="AO98" s="779">
        <v>6400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25">
      <c r="A99" s="540" t="str">
        <f t="shared" si="2"/>
        <v>Véhicules usagésAutres Marques</v>
      </c>
      <c r="B99" s="550" t="s">
        <v>2813</v>
      </c>
      <c r="C99" s="777">
        <v>75</v>
      </c>
      <c r="D99" s="778">
        <v>1500</v>
      </c>
      <c r="E99" s="779">
        <v>112500</v>
      </c>
      <c r="F99" s="777">
        <v>4</v>
      </c>
      <c r="G99" s="778">
        <v>1500</v>
      </c>
      <c r="H99" s="779">
        <v>6000</v>
      </c>
      <c r="I99" s="777">
        <v>5</v>
      </c>
      <c r="J99" s="778">
        <v>1500</v>
      </c>
      <c r="K99" s="779">
        <v>7500</v>
      </c>
      <c r="L99" s="777">
        <v>6</v>
      </c>
      <c r="M99" s="778">
        <v>1500</v>
      </c>
      <c r="N99" s="779">
        <v>9000</v>
      </c>
      <c r="O99" s="777">
        <v>9</v>
      </c>
      <c r="P99" s="778">
        <v>1500</v>
      </c>
      <c r="Q99" s="779">
        <v>13500</v>
      </c>
      <c r="R99" s="777">
        <v>8</v>
      </c>
      <c r="S99" s="778">
        <v>1500</v>
      </c>
      <c r="T99" s="779">
        <v>12000</v>
      </c>
      <c r="U99" s="777">
        <v>6</v>
      </c>
      <c r="V99" s="778">
        <v>1500</v>
      </c>
      <c r="W99" s="779">
        <v>9000</v>
      </c>
      <c r="X99" s="777">
        <v>7</v>
      </c>
      <c r="Y99" s="778">
        <v>1500</v>
      </c>
      <c r="Z99" s="779">
        <v>10500</v>
      </c>
      <c r="AA99" s="777">
        <v>8</v>
      </c>
      <c r="AB99" s="778">
        <v>1500</v>
      </c>
      <c r="AC99" s="779">
        <v>12000</v>
      </c>
      <c r="AD99" s="777">
        <v>6</v>
      </c>
      <c r="AE99" s="778">
        <v>1500</v>
      </c>
      <c r="AF99" s="779">
        <v>9000</v>
      </c>
      <c r="AG99" s="777">
        <v>6</v>
      </c>
      <c r="AH99" s="778">
        <v>1500</v>
      </c>
      <c r="AI99" s="779">
        <v>9000</v>
      </c>
      <c r="AJ99" s="777">
        <v>6</v>
      </c>
      <c r="AK99" s="778">
        <v>1500</v>
      </c>
      <c r="AL99" s="779">
        <v>9000</v>
      </c>
      <c r="AM99" s="777">
        <v>4</v>
      </c>
      <c r="AN99" s="778">
        <v>1500</v>
      </c>
      <c r="AO99" s="779">
        <v>6000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0.25">
      <c r="A100" s="540" t="str">
        <f t="shared" si="2"/>
        <v>Véhicules usagésTotal Usagés</v>
      </c>
      <c r="B100" s="604" t="s">
        <v>143</v>
      </c>
      <c r="C100" s="782">
        <v>225</v>
      </c>
      <c r="D100" s="783">
        <v>1800</v>
      </c>
      <c r="E100" s="784">
        <v>405000</v>
      </c>
      <c r="F100" s="782">
        <v>12</v>
      </c>
      <c r="G100" s="783">
        <v>1800</v>
      </c>
      <c r="H100" s="784">
        <v>21600</v>
      </c>
      <c r="I100" s="782">
        <v>15</v>
      </c>
      <c r="J100" s="783">
        <v>1800</v>
      </c>
      <c r="K100" s="784">
        <v>27000</v>
      </c>
      <c r="L100" s="782">
        <v>18</v>
      </c>
      <c r="M100" s="783">
        <v>1800</v>
      </c>
      <c r="N100" s="784">
        <v>32400</v>
      </c>
      <c r="O100" s="782">
        <v>27</v>
      </c>
      <c r="P100" s="783">
        <v>1800</v>
      </c>
      <c r="Q100" s="784">
        <v>48600</v>
      </c>
      <c r="R100" s="782">
        <v>24</v>
      </c>
      <c r="S100" s="783">
        <v>1800</v>
      </c>
      <c r="T100" s="784">
        <v>43200</v>
      </c>
      <c r="U100" s="782">
        <v>18</v>
      </c>
      <c r="V100" s="783">
        <v>1800</v>
      </c>
      <c r="W100" s="784">
        <v>32400</v>
      </c>
      <c r="X100" s="782">
        <v>21</v>
      </c>
      <c r="Y100" s="783">
        <v>1800</v>
      </c>
      <c r="Z100" s="784">
        <v>37800</v>
      </c>
      <c r="AA100" s="782">
        <v>24</v>
      </c>
      <c r="AB100" s="783">
        <v>1800</v>
      </c>
      <c r="AC100" s="784">
        <v>43200</v>
      </c>
      <c r="AD100" s="782">
        <v>18</v>
      </c>
      <c r="AE100" s="783">
        <v>1800</v>
      </c>
      <c r="AF100" s="784">
        <v>32400</v>
      </c>
      <c r="AG100" s="782">
        <v>18</v>
      </c>
      <c r="AH100" s="783">
        <v>1800</v>
      </c>
      <c r="AI100" s="784">
        <v>32400</v>
      </c>
      <c r="AJ100" s="782">
        <v>18</v>
      </c>
      <c r="AK100" s="783">
        <v>1800</v>
      </c>
      <c r="AL100" s="784">
        <v>32400</v>
      </c>
      <c r="AM100" s="782">
        <v>12</v>
      </c>
      <c r="AN100" s="783">
        <v>1800</v>
      </c>
      <c r="AO100" s="784">
        <v>21600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25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25">
      <c r="A102" s="540" t="str">
        <f t="shared" si="2"/>
        <v>Véhicules usagés</v>
      </c>
      <c r="B102" s="550"/>
      <c r="C102" s="785"/>
      <c r="D102" s="793"/>
      <c r="E102" s="786"/>
      <c r="F102" s="785">
        <v>0</v>
      </c>
      <c r="G102" s="793"/>
      <c r="H102" s="786">
        <v>0</v>
      </c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25">
      <c r="A103" s="540" t="str">
        <f t="shared" si="2"/>
        <v>Véhicules usagésVentes au Gros</v>
      </c>
      <c r="B103" s="550" t="s">
        <v>144</v>
      </c>
      <c r="C103" s="777">
        <v>220</v>
      </c>
      <c r="D103" s="778">
        <v>350</v>
      </c>
      <c r="E103" s="779">
        <v>77000</v>
      </c>
      <c r="F103" s="777">
        <v>13</v>
      </c>
      <c r="G103" s="778">
        <v>350</v>
      </c>
      <c r="H103" s="779">
        <v>4550</v>
      </c>
      <c r="I103" s="777">
        <v>13</v>
      </c>
      <c r="J103" s="778">
        <v>350</v>
      </c>
      <c r="K103" s="779">
        <v>4550</v>
      </c>
      <c r="L103" s="777">
        <v>18</v>
      </c>
      <c r="M103" s="778">
        <v>350</v>
      </c>
      <c r="N103" s="779">
        <v>6300</v>
      </c>
      <c r="O103" s="777">
        <v>25</v>
      </c>
      <c r="P103" s="778">
        <v>350</v>
      </c>
      <c r="Q103" s="779">
        <v>8750</v>
      </c>
      <c r="R103" s="777">
        <v>23</v>
      </c>
      <c r="S103" s="778">
        <v>350</v>
      </c>
      <c r="T103" s="779">
        <v>8050</v>
      </c>
      <c r="U103" s="777">
        <v>19</v>
      </c>
      <c r="V103" s="778">
        <v>350</v>
      </c>
      <c r="W103" s="779">
        <v>6650</v>
      </c>
      <c r="X103" s="777">
        <v>21</v>
      </c>
      <c r="Y103" s="778">
        <v>350</v>
      </c>
      <c r="Z103" s="779">
        <v>7350</v>
      </c>
      <c r="AA103" s="777">
        <v>23</v>
      </c>
      <c r="AB103" s="778">
        <v>350</v>
      </c>
      <c r="AC103" s="779">
        <v>8050</v>
      </c>
      <c r="AD103" s="777">
        <v>19</v>
      </c>
      <c r="AE103" s="778">
        <v>350</v>
      </c>
      <c r="AF103" s="779">
        <v>6650</v>
      </c>
      <c r="AG103" s="777">
        <v>18</v>
      </c>
      <c r="AH103" s="778">
        <v>350</v>
      </c>
      <c r="AI103" s="779">
        <v>6300</v>
      </c>
      <c r="AJ103" s="777">
        <v>17</v>
      </c>
      <c r="AK103" s="778">
        <v>350</v>
      </c>
      <c r="AL103" s="779">
        <v>5950</v>
      </c>
      <c r="AM103" s="777">
        <v>11</v>
      </c>
      <c r="AN103" s="778">
        <v>350</v>
      </c>
      <c r="AO103" s="779">
        <v>3850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25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25">
      <c r="A105" s="540" t="str">
        <f t="shared" si="2"/>
        <v>Véhicules usagésRev. Finances</v>
      </c>
      <c r="B105" s="550" t="s">
        <v>94</v>
      </c>
      <c r="C105" s="777"/>
      <c r="D105" s="778">
        <v>380</v>
      </c>
      <c r="E105" s="779">
        <v>85500</v>
      </c>
      <c r="F105" s="777"/>
      <c r="G105" s="778">
        <v>380</v>
      </c>
      <c r="H105" s="779">
        <v>4560</v>
      </c>
      <c r="I105" s="777"/>
      <c r="J105" s="778">
        <v>380</v>
      </c>
      <c r="K105" s="779">
        <v>5700</v>
      </c>
      <c r="L105" s="777"/>
      <c r="M105" s="778">
        <v>380</v>
      </c>
      <c r="N105" s="779">
        <v>6840</v>
      </c>
      <c r="O105" s="777"/>
      <c r="P105" s="778">
        <v>380</v>
      </c>
      <c r="Q105" s="779">
        <v>10260</v>
      </c>
      <c r="R105" s="777"/>
      <c r="S105" s="778">
        <v>380</v>
      </c>
      <c r="T105" s="779">
        <v>9120</v>
      </c>
      <c r="U105" s="777"/>
      <c r="V105" s="778">
        <v>380</v>
      </c>
      <c r="W105" s="779">
        <v>6840</v>
      </c>
      <c r="X105" s="777"/>
      <c r="Y105" s="778">
        <v>380</v>
      </c>
      <c r="Z105" s="779">
        <v>7980</v>
      </c>
      <c r="AA105" s="777"/>
      <c r="AB105" s="778">
        <v>380</v>
      </c>
      <c r="AC105" s="779">
        <v>9120</v>
      </c>
      <c r="AD105" s="777"/>
      <c r="AE105" s="778">
        <v>380</v>
      </c>
      <c r="AF105" s="779">
        <v>6840</v>
      </c>
      <c r="AG105" s="777"/>
      <c r="AH105" s="778">
        <v>380</v>
      </c>
      <c r="AI105" s="779">
        <v>6840</v>
      </c>
      <c r="AJ105" s="777"/>
      <c r="AK105" s="778">
        <v>380</v>
      </c>
      <c r="AL105" s="779">
        <v>6840</v>
      </c>
      <c r="AM105" s="777"/>
      <c r="AN105" s="778">
        <v>380</v>
      </c>
      <c r="AO105" s="779">
        <v>4560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25">
      <c r="A106" s="540" t="str">
        <f t="shared" si="2"/>
        <v>Véhicules usagésRev. Protections</v>
      </c>
      <c r="B106" s="550" t="s">
        <v>95</v>
      </c>
      <c r="C106" s="777"/>
      <c r="D106" s="778">
        <v>850</v>
      </c>
      <c r="E106" s="779">
        <v>191250</v>
      </c>
      <c r="F106" s="777"/>
      <c r="G106" s="778">
        <v>850</v>
      </c>
      <c r="H106" s="779">
        <v>10200</v>
      </c>
      <c r="I106" s="777"/>
      <c r="J106" s="778">
        <v>850</v>
      </c>
      <c r="K106" s="779">
        <v>12750</v>
      </c>
      <c r="L106" s="777"/>
      <c r="M106" s="778">
        <v>850</v>
      </c>
      <c r="N106" s="779">
        <v>15300</v>
      </c>
      <c r="O106" s="777"/>
      <c r="P106" s="778">
        <v>850</v>
      </c>
      <c r="Q106" s="779">
        <v>22950</v>
      </c>
      <c r="R106" s="777"/>
      <c r="S106" s="778">
        <v>850</v>
      </c>
      <c r="T106" s="779">
        <v>20400</v>
      </c>
      <c r="U106" s="777"/>
      <c r="V106" s="778">
        <v>850</v>
      </c>
      <c r="W106" s="779">
        <v>15300</v>
      </c>
      <c r="X106" s="777"/>
      <c r="Y106" s="778">
        <v>850</v>
      </c>
      <c r="Z106" s="779">
        <v>17850</v>
      </c>
      <c r="AA106" s="777"/>
      <c r="AB106" s="778">
        <v>850</v>
      </c>
      <c r="AC106" s="779">
        <v>20400</v>
      </c>
      <c r="AD106" s="777"/>
      <c r="AE106" s="778">
        <v>850</v>
      </c>
      <c r="AF106" s="779">
        <v>15300</v>
      </c>
      <c r="AG106" s="777"/>
      <c r="AH106" s="778">
        <v>850</v>
      </c>
      <c r="AI106" s="779">
        <v>15300</v>
      </c>
      <c r="AJ106" s="777"/>
      <c r="AK106" s="778">
        <v>850</v>
      </c>
      <c r="AL106" s="779">
        <v>15300</v>
      </c>
      <c r="AM106" s="777"/>
      <c r="AN106" s="778">
        <v>850</v>
      </c>
      <c r="AO106" s="779">
        <v>10200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25">
      <c r="A107" s="540" t="str">
        <f t="shared" si="2"/>
        <v>Véhicules usagésRev. Autres</v>
      </c>
      <c r="B107" s="550" t="s">
        <v>96</v>
      </c>
      <c r="C107" s="777"/>
      <c r="D107" s="841">
        <v>220</v>
      </c>
      <c r="E107" s="779">
        <v>49500</v>
      </c>
      <c r="F107" s="777"/>
      <c r="G107" s="841">
        <v>220</v>
      </c>
      <c r="H107" s="779">
        <v>2640</v>
      </c>
      <c r="I107" s="777"/>
      <c r="J107" s="841">
        <v>220</v>
      </c>
      <c r="K107" s="779">
        <v>3300</v>
      </c>
      <c r="L107" s="777"/>
      <c r="M107" s="841">
        <v>220</v>
      </c>
      <c r="N107" s="779">
        <v>3960</v>
      </c>
      <c r="O107" s="777"/>
      <c r="P107" s="841">
        <v>220</v>
      </c>
      <c r="Q107" s="779">
        <v>5940</v>
      </c>
      <c r="R107" s="777"/>
      <c r="S107" s="841">
        <v>220</v>
      </c>
      <c r="T107" s="779">
        <v>5280</v>
      </c>
      <c r="U107" s="777"/>
      <c r="V107" s="841">
        <v>220</v>
      </c>
      <c r="W107" s="779">
        <v>3960</v>
      </c>
      <c r="X107" s="777"/>
      <c r="Y107" s="841">
        <v>220</v>
      </c>
      <c r="Z107" s="779">
        <v>4620</v>
      </c>
      <c r="AA107" s="777"/>
      <c r="AB107" s="841">
        <v>220</v>
      </c>
      <c r="AC107" s="779">
        <v>5280</v>
      </c>
      <c r="AD107" s="777"/>
      <c r="AE107" s="841">
        <v>220</v>
      </c>
      <c r="AF107" s="779">
        <v>3960</v>
      </c>
      <c r="AG107" s="777"/>
      <c r="AH107" s="841">
        <v>220</v>
      </c>
      <c r="AI107" s="779">
        <v>3960</v>
      </c>
      <c r="AJ107" s="777"/>
      <c r="AK107" s="841">
        <v>220</v>
      </c>
      <c r="AL107" s="779">
        <v>3960</v>
      </c>
      <c r="AM107" s="777"/>
      <c r="AN107" s="841">
        <v>220</v>
      </c>
      <c r="AO107" s="779">
        <v>2640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0.25">
      <c r="A108" s="540" t="str">
        <f t="shared" si="2"/>
        <v>Véhicules usagésTotal F&amp;I</v>
      </c>
      <c r="B108" s="604" t="s">
        <v>97</v>
      </c>
      <c r="C108" s="782">
        <v>225</v>
      </c>
      <c r="D108" s="783">
        <v>1450</v>
      </c>
      <c r="E108" s="784">
        <v>326250</v>
      </c>
      <c r="F108" s="782">
        <v>12</v>
      </c>
      <c r="G108" s="783">
        <v>1450</v>
      </c>
      <c r="H108" s="784">
        <v>17400</v>
      </c>
      <c r="I108" s="782">
        <v>15</v>
      </c>
      <c r="J108" s="783">
        <v>1450</v>
      </c>
      <c r="K108" s="784">
        <v>21750</v>
      </c>
      <c r="L108" s="782">
        <v>18</v>
      </c>
      <c r="M108" s="783">
        <v>1450</v>
      </c>
      <c r="N108" s="784">
        <v>26100</v>
      </c>
      <c r="O108" s="782">
        <v>27</v>
      </c>
      <c r="P108" s="783">
        <v>1450</v>
      </c>
      <c r="Q108" s="784">
        <v>39150</v>
      </c>
      <c r="R108" s="782">
        <v>24</v>
      </c>
      <c r="S108" s="783">
        <v>1450</v>
      </c>
      <c r="T108" s="784">
        <v>34800</v>
      </c>
      <c r="U108" s="782">
        <v>18</v>
      </c>
      <c r="V108" s="783">
        <v>1450</v>
      </c>
      <c r="W108" s="784">
        <v>26100</v>
      </c>
      <c r="X108" s="782">
        <v>21</v>
      </c>
      <c r="Y108" s="783">
        <v>1450</v>
      </c>
      <c r="Z108" s="784">
        <v>30450</v>
      </c>
      <c r="AA108" s="782">
        <v>24</v>
      </c>
      <c r="AB108" s="783">
        <v>1450</v>
      </c>
      <c r="AC108" s="784">
        <v>34800</v>
      </c>
      <c r="AD108" s="782">
        <v>18</v>
      </c>
      <c r="AE108" s="783">
        <v>1450</v>
      </c>
      <c r="AF108" s="784">
        <v>26100</v>
      </c>
      <c r="AG108" s="782">
        <v>18</v>
      </c>
      <c r="AH108" s="783">
        <v>1450</v>
      </c>
      <c r="AI108" s="784">
        <v>26100</v>
      </c>
      <c r="AJ108" s="782">
        <v>18</v>
      </c>
      <c r="AK108" s="783">
        <v>1450</v>
      </c>
      <c r="AL108" s="784">
        <v>26100</v>
      </c>
      <c r="AM108" s="782">
        <v>12</v>
      </c>
      <c r="AN108" s="783">
        <v>1450</v>
      </c>
      <c r="AO108" s="784">
        <v>17400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25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" thickTop="1">
      <c r="A111" s="540" t="str">
        <f t="shared" si="2"/>
        <v>Véhicules usagésTotal Dépt. Usagés</v>
      </c>
      <c r="B111" s="606" t="s">
        <v>145</v>
      </c>
      <c r="C111" s="795">
        <v>445</v>
      </c>
      <c r="D111" s="796">
        <v>1816.2921348314608</v>
      </c>
      <c r="E111" s="797">
        <v>808250</v>
      </c>
      <c r="F111" s="795">
        <v>25</v>
      </c>
      <c r="G111" s="796">
        <v>1742</v>
      </c>
      <c r="H111" s="797">
        <v>43550</v>
      </c>
      <c r="I111" s="795">
        <v>28</v>
      </c>
      <c r="J111" s="796">
        <v>1903.5714285714287</v>
      </c>
      <c r="K111" s="797">
        <v>53300</v>
      </c>
      <c r="L111" s="795">
        <v>36</v>
      </c>
      <c r="M111" s="796">
        <v>1800</v>
      </c>
      <c r="N111" s="797">
        <v>64800</v>
      </c>
      <c r="O111" s="795">
        <v>52</v>
      </c>
      <c r="P111" s="796">
        <v>1855.7692307692307</v>
      </c>
      <c r="Q111" s="797">
        <v>96500</v>
      </c>
      <c r="R111" s="795">
        <v>47</v>
      </c>
      <c r="S111" s="796">
        <v>1830.8510638297873</v>
      </c>
      <c r="T111" s="797">
        <v>86050</v>
      </c>
      <c r="U111" s="795">
        <v>37</v>
      </c>
      <c r="V111" s="796">
        <v>1760.8108108108108</v>
      </c>
      <c r="W111" s="797">
        <v>65150</v>
      </c>
      <c r="X111" s="795">
        <v>42</v>
      </c>
      <c r="Y111" s="796">
        <v>1800</v>
      </c>
      <c r="Z111" s="797">
        <v>75600</v>
      </c>
      <c r="AA111" s="795">
        <v>47</v>
      </c>
      <c r="AB111" s="796">
        <v>1830.8510638297873</v>
      </c>
      <c r="AC111" s="797">
        <v>86050</v>
      </c>
      <c r="AD111" s="795">
        <v>37</v>
      </c>
      <c r="AE111" s="796">
        <v>1760.8108108108108</v>
      </c>
      <c r="AF111" s="797">
        <v>65150</v>
      </c>
      <c r="AG111" s="795">
        <v>36</v>
      </c>
      <c r="AH111" s="796">
        <v>1800</v>
      </c>
      <c r="AI111" s="797">
        <v>64800</v>
      </c>
      <c r="AJ111" s="795">
        <v>35</v>
      </c>
      <c r="AK111" s="796">
        <v>1841.4285714285713</v>
      </c>
      <c r="AL111" s="797">
        <v>64450</v>
      </c>
      <c r="AM111" s="795">
        <v>23</v>
      </c>
      <c r="AN111" s="796">
        <v>1863.0434782608695</v>
      </c>
      <c r="AO111" s="797">
        <v>42850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0.25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/>
      <c r="G114" s="804"/>
      <c r="H114" s="786"/>
      <c r="I114" s="785"/>
      <c r="J114" s="804"/>
      <c r="K114" s="786"/>
      <c r="L114" s="785"/>
      <c r="M114" s="804"/>
      <c r="N114" s="786"/>
      <c r="O114" s="785"/>
      <c r="P114" s="804"/>
      <c r="Q114" s="786"/>
      <c r="R114" s="785"/>
      <c r="S114" s="804"/>
      <c r="T114" s="786"/>
      <c r="U114" s="785"/>
      <c r="V114" s="804"/>
      <c r="W114" s="786"/>
      <c r="X114" s="785"/>
      <c r="Y114" s="804"/>
      <c r="Z114" s="786"/>
      <c r="AA114" s="785"/>
      <c r="AB114" s="804"/>
      <c r="AC114" s="786"/>
      <c r="AD114" s="785"/>
      <c r="AE114" s="804"/>
      <c r="AF114" s="786"/>
      <c r="AG114" s="785"/>
      <c r="AH114" s="804"/>
      <c r="AI114" s="786"/>
      <c r="AJ114" s="785"/>
      <c r="AK114" s="804"/>
      <c r="AL114" s="786"/>
      <c r="AM114" s="785"/>
      <c r="AN114" s="804"/>
      <c r="AO114" s="786"/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25">
      <c r="A115" s="540" t="str">
        <f t="shared" si="2"/>
        <v>Véhicules usagésComm. vendeurs</v>
      </c>
      <c r="B115" s="550" t="s">
        <v>100</v>
      </c>
      <c r="C115" s="846">
        <v>0.34493827160493828</v>
      </c>
      <c r="D115" s="806">
        <v>931.33333333333337</v>
      </c>
      <c r="E115" s="807">
        <v>139700</v>
      </c>
      <c r="F115" s="846">
        <v>0.37425145451965375</v>
      </c>
      <c r="G115" s="806">
        <v>1010.4789272030652</v>
      </c>
      <c r="H115" s="807">
        <v>8083.8314176245212</v>
      </c>
      <c r="I115" s="846">
        <v>0.35165318575280258</v>
      </c>
      <c r="J115" s="806">
        <v>949.46360153256705</v>
      </c>
      <c r="K115" s="807">
        <v>9494.6360153256701</v>
      </c>
      <c r="L115" s="846">
        <v>0.34519653753370227</v>
      </c>
      <c r="M115" s="806">
        <v>932.03065134099609</v>
      </c>
      <c r="N115" s="807">
        <v>11184.367816091954</v>
      </c>
      <c r="O115" s="846">
        <v>0.33156583573782378</v>
      </c>
      <c r="P115" s="806">
        <v>895.22775649212429</v>
      </c>
      <c r="Q115" s="807">
        <v>16114.099616858237</v>
      </c>
      <c r="R115" s="846">
        <v>0.33551156520505176</v>
      </c>
      <c r="S115" s="806">
        <v>905.88122605363981</v>
      </c>
      <c r="T115" s="807">
        <v>14494.099616858237</v>
      </c>
      <c r="U115" s="846">
        <v>0.34519653753370227</v>
      </c>
      <c r="V115" s="806">
        <v>932.03065134099609</v>
      </c>
      <c r="W115" s="807">
        <v>11184.367816091954</v>
      </c>
      <c r="X115" s="846">
        <v>0.3424294025826593</v>
      </c>
      <c r="Y115" s="806">
        <v>924.55938697318015</v>
      </c>
      <c r="Z115" s="807">
        <v>12943.831417624522</v>
      </c>
      <c r="AA115" s="846">
        <v>0.33389740315027672</v>
      </c>
      <c r="AB115" s="806">
        <v>901.52298850574709</v>
      </c>
      <c r="AC115" s="807">
        <v>14424.367816091954</v>
      </c>
      <c r="AD115" s="846">
        <v>0.34734875360673573</v>
      </c>
      <c r="AE115" s="806">
        <v>937.84163473818637</v>
      </c>
      <c r="AF115" s="807">
        <v>11254.099616858237</v>
      </c>
      <c r="AG115" s="846">
        <v>0.34950096967976918</v>
      </c>
      <c r="AH115" s="806">
        <v>943.65261813537688</v>
      </c>
      <c r="AI115" s="807">
        <v>11323.831417624522</v>
      </c>
      <c r="AJ115" s="846">
        <v>0.34304432146066882</v>
      </c>
      <c r="AK115" s="806">
        <v>926.2196679438058</v>
      </c>
      <c r="AL115" s="807">
        <v>11114.63601532567</v>
      </c>
      <c r="AM115" s="846">
        <v>0.37425145451965375</v>
      </c>
      <c r="AN115" s="806">
        <v>1010.4789272030652</v>
      </c>
      <c r="AO115" s="807">
        <v>8083.8314176245212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25">
      <c r="A116" s="540" t="str">
        <f t="shared" si="2"/>
        <v>Véhicules usagésComm. F&amp;I</v>
      </c>
      <c r="B116" s="610" t="s">
        <v>101</v>
      </c>
      <c r="C116" s="808">
        <v>0.27500000000000002</v>
      </c>
      <c r="D116" s="809">
        <v>598.125</v>
      </c>
      <c r="E116" s="810">
        <v>89718.75</v>
      </c>
      <c r="F116" s="808">
        <v>0.27500000000000002</v>
      </c>
      <c r="G116" s="809">
        <v>598.125</v>
      </c>
      <c r="H116" s="810">
        <v>4785</v>
      </c>
      <c r="I116" s="808">
        <v>0.27500000000000002</v>
      </c>
      <c r="J116" s="809">
        <v>598.125</v>
      </c>
      <c r="K116" s="810">
        <v>5981.25</v>
      </c>
      <c r="L116" s="808">
        <v>0.27500000000000002</v>
      </c>
      <c r="M116" s="809">
        <v>598.125</v>
      </c>
      <c r="N116" s="810">
        <v>7177.5</v>
      </c>
      <c r="O116" s="808">
        <v>0.27500000000000002</v>
      </c>
      <c r="P116" s="809">
        <v>598.125</v>
      </c>
      <c r="Q116" s="810">
        <v>10766.25</v>
      </c>
      <c r="R116" s="808">
        <v>0.27500000000000002</v>
      </c>
      <c r="S116" s="809">
        <v>598.125</v>
      </c>
      <c r="T116" s="810">
        <v>9570</v>
      </c>
      <c r="U116" s="808">
        <v>0.27500000000000002</v>
      </c>
      <c r="V116" s="809">
        <v>598.125</v>
      </c>
      <c r="W116" s="810">
        <v>7177.5</v>
      </c>
      <c r="X116" s="808">
        <v>0.27500000000000002</v>
      </c>
      <c r="Y116" s="809">
        <v>598.125</v>
      </c>
      <c r="Z116" s="810">
        <v>8373.75</v>
      </c>
      <c r="AA116" s="808">
        <v>0.27500000000000002</v>
      </c>
      <c r="AB116" s="809">
        <v>598.125</v>
      </c>
      <c r="AC116" s="810">
        <v>9570</v>
      </c>
      <c r="AD116" s="808">
        <v>0.27500000000000002</v>
      </c>
      <c r="AE116" s="809">
        <v>598.125</v>
      </c>
      <c r="AF116" s="810">
        <v>7177.5</v>
      </c>
      <c r="AG116" s="808">
        <v>0.27500000000000002</v>
      </c>
      <c r="AH116" s="809">
        <v>598.125</v>
      </c>
      <c r="AI116" s="810">
        <v>7177.5</v>
      </c>
      <c r="AJ116" s="808">
        <v>0.27500000000000002</v>
      </c>
      <c r="AK116" s="809">
        <v>598.125</v>
      </c>
      <c r="AL116" s="810">
        <v>7177.5</v>
      </c>
      <c r="AM116" s="808">
        <v>0.27500000000000002</v>
      </c>
      <c r="AN116" s="809">
        <v>598.125</v>
      </c>
      <c r="AO116" s="810">
        <v>4785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25">
      <c r="A117" s="540" t="str">
        <f t="shared" si="2"/>
        <v>Véhicules usagésFrais de livraison</v>
      </c>
      <c r="B117" s="550" t="s">
        <v>102</v>
      </c>
      <c r="C117" s="785"/>
      <c r="D117" s="806">
        <v>135</v>
      </c>
      <c r="E117" s="807">
        <v>20250</v>
      </c>
      <c r="F117" s="785"/>
      <c r="G117" s="806">
        <v>135</v>
      </c>
      <c r="H117" s="807">
        <v>1080</v>
      </c>
      <c r="I117" s="785"/>
      <c r="J117" s="806">
        <v>135</v>
      </c>
      <c r="K117" s="807">
        <v>1350</v>
      </c>
      <c r="L117" s="785"/>
      <c r="M117" s="806">
        <v>135</v>
      </c>
      <c r="N117" s="807">
        <v>1620</v>
      </c>
      <c r="O117" s="785"/>
      <c r="P117" s="806">
        <v>135</v>
      </c>
      <c r="Q117" s="807">
        <v>2430</v>
      </c>
      <c r="R117" s="785"/>
      <c r="S117" s="806">
        <v>135</v>
      </c>
      <c r="T117" s="807">
        <v>2160</v>
      </c>
      <c r="U117" s="785"/>
      <c r="V117" s="806">
        <v>135</v>
      </c>
      <c r="W117" s="807">
        <v>1620</v>
      </c>
      <c r="X117" s="785"/>
      <c r="Y117" s="806">
        <v>135</v>
      </c>
      <c r="Z117" s="807">
        <v>1890</v>
      </c>
      <c r="AA117" s="785"/>
      <c r="AB117" s="806">
        <v>135</v>
      </c>
      <c r="AC117" s="807">
        <v>2160</v>
      </c>
      <c r="AD117" s="785"/>
      <c r="AE117" s="806">
        <v>135</v>
      </c>
      <c r="AF117" s="807">
        <v>1620</v>
      </c>
      <c r="AG117" s="785"/>
      <c r="AH117" s="806">
        <v>135</v>
      </c>
      <c r="AI117" s="807">
        <v>1620</v>
      </c>
      <c r="AJ117" s="785"/>
      <c r="AK117" s="806">
        <v>135</v>
      </c>
      <c r="AL117" s="807">
        <v>1620</v>
      </c>
      <c r="AM117" s="785"/>
      <c r="AN117" s="806">
        <v>135</v>
      </c>
      <c r="AO117" s="807">
        <v>1080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25">
      <c r="A118" s="540" t="str">
        <f t="shared" si="2"/>
        <v>Véhicules usagésService gratuit 1</v>
      </c>
      <c r="B118" s="550" t="s">
        <v>103</v>
      </c>
      <c r="C118" s="785"/>
      <c r="D118" s="806">
        <v>141</v>
      </c>
      <c r="E118" s="807">
        <v>21150</v>
      </c>
      <c r="F118" s="785"/>
      <c r="G118" s="806">
        <v>141</v>
      </c>
      <c r="H118" s="807">
        <v>1128</v>
      </c>
      <c r="I118" s="785"/>
      <c r="J118" s="806">
        <v>141</v>
      </c>
      <c r="K118" s="807">
        <v>1410</v>
      </c>
      <c r="L118" s="785"/>
      <c r="M118" s="806">
        <v>141</v>
      </c>
      <c r="N118" s="807">
        <v>1692</v>
      </c>
      <c r="O118" s="785"/>
      <c r="P118" s="806">
        <v>141</v>
      </c>
      <c r="Q118" s="807">
        <v>2538</v>
      </c>
      <c r="R118" s="785"/>
      <c r="S118" s="806">
        <v>141</v>
      </c>
      <c r="T118" s="807">
        <v>2256</v>
      </c>
      <c r="U118" s="785"/>
      <c r="V118" s="806">
        <v>141</v>
      </c>
      <c r="W118" s="807">
        <v>1692</v>
      </c>
      <c r="X118" s="785"/>
      <c r="Y118" s="806">
        <v>141</v>
      </c>
      <c r="Z118" s="807">
        <v>1974</v>
      </c>
      <c r="AA118" s="785"/>
      <c r="AB118" s="806">
        <v>141</v>
      </c>
      <c r="AC118" s="807">
        <v>2256</v>
      </c>
      <c r="AD118" s="785"/>
      <c r="AE118" s="806">
        <v>141</v>
      </c>
      <c r="AF118" s="807">
        <v>1692</v>
      </c>
      <c r="AG118" s="785"/>
      <c r="AH118" s="806">
        <v>141</v>
      </c>
      <c r="AI118" s="807">
        <v>1692</v>
      </c>
      <c r="AJ118" s="785"/>
      <c r="AK118" s="806">
        <v>141</v>
      </c>
      <c r="AL118" s="807">
        <v>1692</v>
      </c>
      <c r="AM118" s="785"/>
      <c r="AN118" s="806">
        <v>141</v>
      </c>
      <c r="AO118" s="807">
        <v>1128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25">
      <c r="A119" s="540" t="str">
        <f t="shared" si="2"/>
        <v>Véhicules usagésEntretien stock</v>
      </c>
      <c r="B119" s="610" t="s">
        <v>104</v>
      </c>
      <c r="C119" s="811"/>
      <c r="D119" s="809">
        <v>151</v>
      </c>
      <c r="E119" s="810">
        <v>22650</v>
      </c>
      <c r="F119" s="811"/>
      <c r="G119" s="809">
        <v>227.5</v>
      </c>
      <c r="H119" s="810">
        <v>1820</v>
      </c>
      <c r="I119" s="811"/>
      <c r="J119" s="809">
        <v>185</v>
      </c>
      <c r="K119" s="810">
        <v>1850</v>
      </c>
      <c r="L119" s="811"/>
      <c r="M119" s="809">
        <v>156.66666666666666</v>
      </c>
      <c r="N119" s="810">
        <v>1880</v>
      </c>
      <c r="O119" s="811"/>
      <c r="P119" s="809">
        <v>109.44444444444444</v>
      </c>
      <c r="Q119" s="810">
        <v>1970</v>
      </c>
      <c r="R119" s="811"/>
      <c r="S119" s="809">
        <v>121.25</v>
      </c>
      <c r="T119" s="810">
        <v>1940</v>
      </c>
      <c r="U119" s="811"/>
      <c r="V119" s="809">
        <v>156.66666666666666</v>
      </c>
      <c r="W119" s="810">
        <v>1880</v>
      </c>
      <c r="X119" s="811"/>
      <c r="Y119" s="809">
        <v>136.42857142857142</v>
      </c>
      <c r="Z119" s="810">
        <v>1910</v>
      </c>
      <c r="AA119" s="811"/>
      <c r="AB119" s="809">
        <v>121.25</v>
      </c>
      <c r="AC119" s="810">
        <v>1940</v>
      </c>
      <c r="AD119" s="811"/>
      <c r="AE119" s="809">
        <v>156.66666666666666</v>
      </c>
      <c r="AF119" s="810">
        <v>1880</v>
      </c>
      <c r="AG119" s="811"/>
      <c r="AH119" s="809">
        <v>156.66666666666666</v>
      </c>
      <c r="AI119" s="810">
        <v>1880</v>
      </c>
      <c r="AJ119" s="811"/>
      <c r="AK119" s="809">
        <v>156.66666666666666</v>
      </c>
      <c r="AL119" s="810">
        <v>1880</v>
      </c>
      <c r="AM119" s="811"/>
      <c r="AN119" s="809">
        <v>227.5</v>
      </c>
      <c r="AO119" s="810">
        <v>1820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25">
      <c r="A120" s="540" t="str">
        <f t="shared" si="2"/>
        <v>Véhicules usagésPublicité 1</v>
      </c>
      <c r="B120" s="550" t="s">
        <v>105</v>
      </c>
      <c r="C120" s="785"/>
      <c r="D120" s="806">
        <v>540</v>
      </c>
      <c r="E120" s="807">
        <v>81000</v>
      </c>
      <c r="F120" s="785"/>
      <c r="G120" s="806">
        <v>928.125</v>
      </c>
      <c r="H120" s="807">
        <v>7425</v>
      </c>
      <c r="I120" s="785"/>
      <c r="J120" s="806">
        <v>712.5</v>
      </c>
      <c r="K120" s="807">
        <v>7125</v>
      </c>
      <c r="L120" s="785"/>
      <c r="M120" s="806">
        <v>568.75</v>
      </c>
      <c r="N120" s="807">
        <v>6825</v>
      </c>
      <c r="O120" s="785"/>
      <c r="P120" s="806">
        <v>329.16666666666669</v>
      </c>
      <c r="Q120" s="807">
        <v>5925</v>
      </c>
      <c r="R120" s="785"/>
      <c r="S120" s="806">
        <v>389.0625</v>
      </c>
      <c r="T120" s="807">
        <v>6225</v>
      </c>
      <c r="U120" s="785"/>
      <c r="V120" s="806">
        <v>568.75</v>
      </c>
      <c r="W120" s="807">
        <v>6825</v>
      </c>
      <c r="X120" s="785"/>
      <c r="Y120" s="806">
        <v>466.07142857142856</v>
      </c>
      <c r="Z120" s="807">
        <v>6525</v>
      </c>
      <c r="AA120" s="785"/>
      <c r="AB120" s="806">
        <v>389.0625</v>
      </c>
      <c r="AC120" s="807">
        <v>6225</v>
      </c>
      <c r="AD120" s="785"/>
      <c r="AE120" s="806">
        <v>568.75</v>
      </c>
      <c r="AF120" s="807">
        <v>6825</v>
      </c>
      <c r="AG120" s="785"/>
      <c r="AH120" s="806">
        <v>568.75</v>
      </c>
      <c r="AI120" s="807">
        <v>6825</v>
      </c>
      <c r="AJ120" s="785"/>
      <c r="AK120" s="806">
        <v>568.75</v>
      </c>
      <c r="AL120" s="807">
        <v>6825</v>
      </c>
      <c r="AM120" s="785"/>
      <c r="AN120" s="806">
        <v>928.125</v>
      </c>
      <c r="AO120" s="807">
        <v>7425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25">
      <c r="A121" s="540" t="str">
        <f t="shared" si="2"/>
        <v>Véhicules usagésIntérêt de gros</v>
      </c>
      <c r="B121" s="550" t="s">
        <v>106</v>
      </c>
      <c r="C121" s="785"/>
      <c r="D121" s="806">
        <v>382.51941165755926</v>
      </c>
      <c r="E121" s="807">
        <v>57377.911748633887</v>
      </c>
      <c r="F121" s="785"/>
      <c r="G121" s="806">
        <v>527.19653449453551</v>
      </c>
      <c r="H121" s="807">
        <v>4217.5722759562841</v>
      </c>
      <c r="I121" s="785"/>
      <c r="J121" s="806">
        <v>428.85552595628417</v>
      </c>
      <c r="K121" s="807">
        <v>4288.5552595628415</v>
      </c>
      <c r="L121" s="785"/>
      <c r="M121" s="806">
        <v>443.15071015482698</v>
      </c>
      <c r="N121" s="807">
        <v>5317.8085218579236</v>
      </c>
      <c r="O121" s="785"/>
      <c r="P121" s="806">
        <v>305.62117941712205</v>
      </c>
      <c r="Q121" s="807">
        <v>5501.1812295081972</v>
      </c>
      <c r="R121" s="785"/>
      <c r="S121" s="806">
        <v>320.90223838797812</v>
      </c>
      <c r="T121" s="807">
        <v>5134.4358142076499</v>
      </c>
      <c r="U121" s="785"/>
      <c r="V121" s="806">
        <v>399.27928278688523</v>
      </c>
      <c r="W121" s="807">
        <v>4791.3513934426228</v>
      </c>
      <c r="X121" s="785"/>
      <c r="Y121" s="806">
        <v>379.84346584699455</v>
      </c>
      <c r="Z121" s="807">
        <v>5317.8085218579236</v>
      </c>
      <c r="AA121" s="785"/>
      <c r="AB121" s="806">
        <v>320.90223838797812</v>
      </c>
      <c r="AC121" s="807">
        <v>5134.4358142076499</v>
      </c>
      <c r="AD121" s="785"/>
      <c r="AE121" s="806">
        <v>384.49116120218582</v>
      </c>
      <c r="AF121" s="807">
        <v>4613.8939344262299</v>
      </c>
      <c r="AG121" s="785"/>
      <c r="AH121" s="806">
        <v>397.30753324225867</v>
      </c>
      <c r="AI121" s="807">
        <v>4767.6903989071043</v>
      </c>
      <c r="AJ121" s="785"/>
      <c r="AK121" s="806">
        <v>354.91491803278683</v>
      </c>
      <c r="AL121" s="807">
        <v>4258.9790163934422</v>
      </c>
      <c r="AM121" s="785"/>
      <c r="AN121" s="806">
        <v>504.27494603825141</v>
      </c>
      <c r="AO121" s="807">
        <v>4034.1995683060113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25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/>
      <c r="I122" s="847"/>
      <c r="J122" s="806">
        <v>0</v>
      </c>
      <c r="K122" s="794"/>
      <c r="L122" s="847"/>
      <c r="M122" s="806">
        <v>0</v>
      </c>
      <c r="N122" s="794"/>
      <c r="O122" s="847"/>
      <c r="P122" s="806">
        <v>0</v>
      </c>
      <c r="Q122" s="794"/>
      <c r="R122" s="847"/>
      <c r="S122" s="806">
        <v>0</v>
      </c>
      <c r="T122" s="794"/>
      <c r="U122" s="847"/>
      <c r="V122" s="806">
        <v>0</v>
      </c>
      <c r="W122" s="794"/>
      <c r="X122" s="847"/>
      <c r="Y122" s="806">
        <v>0</v>
      </c>
      <c r="Z122" s="794"/>
      <c r="AA122" s="847"/>
      <c r="AB122" s="806">
        <v>0</v>
      </c>
      <c r="AC122" s="794"/>
      <c r="AD122" s="847"/>
      <c r="AE122" s="806">
        <v>0</v>
      </c>
      <c r="AF122" s="794"/>
      <c r="AG122" s="847"/>
      <c r="AH122" s="806">
        <v>0</v>
      </c>
      <c r="AI122" s="794"/>
      <c r="AJ122" s="847"/>
      <c r="AK122" s="806">
        <v>0</v>
      </c>
      <c r="AL122" s="794"/>
      <c r="AM122" s="847"/>
      <c r="AN122" s="806">
        <v>0</v>
      </c>
      <c r="AO122" s="794"/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25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/>
      <c r="I123" s="847"/>
      <c r="J123" s="806">
        <v>0</v>
      </c>
      <c r="K123" s="794"/>
      <c r="L123" s="847"/>
      <c r="M123" s="806">
        <v>0</v>
      </c>
      <c r="N123" s="794"/>
      <c r="O123" s="847"/>
      <c r="P123" s="806">
        <v>0</v>
      </c>
      <c r="Q123" s="794"/>
      <c r="R123" s="847"/>
      <c r="S123" s="806">
        <v>0</v>
      </c>
      <c r="T123" s="794"/>
      <c r="U123" s="847"/>
      <c r="V123" s="806">
        <v>0</v>
      </c>
      <c r="W123" s="794"/>
      <c r="X123" s="847"/>
      <c r="Y123" s="806">
        <v>0</v>
      </c>
      <c r="Z123" s="794"/>
      <c r="AA123" s="847"/>
      <c r="AB123" s="806">
        <v>0</v>
      </c>
      <c r="AC123" s="794"/>
      <c r="AD123" s="847"/>
      <c r="AE123" s="806">
        <v>0</v>
      </c>
      <c r="AF123" s="794"/>
      <c r="AG123" s="847"/>
      <c r="AH123" s="806">
        <v>0</v>
      </c>
      <c r="AI123" s="794"/>
      <c r="AJ123" s="847"/>
      <c r="AK123" s="806">
        <v>0</v>
      </c>
      <c r="AL123" s="794"/>
      <c r="AM123" s="847"/>
      <c r="AN123" s="806">
        <v>0</v>
      </c>
      <c r="AO123" s="794"/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25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/>
      <c r="G124" s="806">
        <v>0</v>
      </c>
      <c r="H124" s="794"/>
      <c r="I124" s="847"/>
      <c r="J124" s="806">
        <v>0</v>
      </c>
      <c r="K124" s="794"/>
      <c r="L124" s="847"/>
      <c r="M124" s="806">
        <v>0</v>
      </c>
      <c r="N124" s="794"/>
      <c r="O124" s="847"/>
      <c r="P124" s="806">
        <v>0</v>
      </c>
      <c r="Q124" s="794"/>
      <c r="R124" s="847"/>
      <c r="S124" s="806">
        <v>0</v>
      </c>
      <c r="T124" s="794"/>
      <c r="U124" s="847"/>
      <c r="V124" s="806">
        <v>0</v>
      </c>
      <c r="W124" s="794"/>
      <c r="X124" s="847"/>
      <c r="Y124" s="806">
        <v>0</v>
      </c>
      <c r="Z124" s="794"/>
      <c r="AA124" s="847"/>
      <c r="AB124" s="806">
        <v>0</v>
      </c>
      <c r="AC124" s="794"/>
      <c r="AD124" s="847"/>
      <c r="AE124" s="806">
        <v>0</v>
      </c>
      <c r="AF124" s="794"/>
      <c r="AG124" s="847"/>
      <c r="AH124" s="806">
        <v>0</v>
      </c>
      <c r="AI124" s="794"/>
      <c r="AJ124" s="847"/>
      <c r="AK124" s="806">
        <v>0</v>
      </c>
      <c r="AL124" s="794"/>
      <c r="AM124" s="847"/>
      <c r="AN124" s="806">
        <v>0</v>
      </c>
      <c r="AO124" s="794"/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0.25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0.5342983751916287</v>
      </c>
      <c r="E125" s="814">
        <v>431846.66174863389</v>
      </c>
      <c r="F125" s="812" t="s">
        <v>108</v>
      </c>
      <c r="G125" s="813">
        <v>0.65532499870449612</v>
      </c>
      <c r="H125" s="814">
        <v>28539.403693580807</v>
      </c>
      <c r="I125" s="812" t="s">
        <v>108</v>
      </c>
      <c r="J125" s="813">
        <v>0.59098388883468123</v>
      </c>
      <c r="K125" s="814">
        <v>31499.441274888508</v>
      </c>
      <c r="L125" s="812" t="s">
        <v>108</v>
      </c>
      <c r="M125" s="813">
        <v>0.55087463484490551</v>
      </c>
      <c r="N125" s="814">
        <v>35696.676337949873</v>
      </c>
      <c r="O125" s="812" t="s">
        <v>108</v>
      </c>
      <c r="P125" s="813">
        <v>0.46885524193125838</v>
      </c>
      <c r="Q125" s="814">
        <v>45244.530846366433</v>
      </c>
      <c r="R125" s="812" t="s">
        <v>108</v>
      </c>
      <c r="S125" s="813">
        <v>0.48552626880959776</v>
      </c>
      <c r="T125" s="814">
        <v>41779.535431065888</v>
      </c>
      <c r="U125" s="812" t="s">
        <v>108</v>
      </c>
      <c r="V125" s="813">
        <v>0.53983452355386918</v>
      </c>
      <c r="W125" s="814">
        <v>35170.219209534574</v>
      </c>
      <c r="X125" s="812" t="s">
        <v>108</v>
      </c>
      <c r="Y125" s="813">
        <v>0.51500515792966195</v>
      </c>
      <c r="Z125" s="814">
        <v>38934.38993948244</v>
      </c>
      <c r="AA125" s="812" t="s">
        <v>108</v>
      </c>
      <c r="AB125" s="813">
        <v>0.48471590505868223</v>
      </c>
      <c r="AC125" s="814">
        <v>41709.803630299604</v>
      </c>
      <c r="AD125" s="812" t="s">
        <v>108</v>
      </c>
      <c r="AE125" s="813">
        <v>0.53818102150858738</v>
      </c>
      <c r="AF125" s="814">
        <v>35062.493551284468</v>
      </c>
      <c r="AG125" s="812" t="s">
        <v>108</v>
      </c>
      <c r="AH125" s="813">
        <v>0.5445373737119078</v>
      </c>
      <c r="AI125" s="814">
        <v>35286.021816531626</v>
      </c>
      <c r="AJ125" s="812" t="s">
        <v>108</v>
      </c>
      <c r="AK125" s="813">
        <v>0.5363555474277597</v>
      </c>
      <c r="AL125" s="814">
        <v>34568.115031719113</v>
      </c>
      <c r="AM125" s="812" t="s">
        <v>108</v>
      </c>
      <c r="AN125" s="813">
        <v>0.66175101484085264</v>
      </c>
      <c r="AO125" s="814">
        <v>28356.030985930534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25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60148.923076923085</v>
      </c>
      <c r="F126" s="785"/>
      <c r="G126" s="793"/>
      <c r="H126" s="807">
        <v>5140.4031830238728</v>
      </c>
      <c r="I126" s="785"/>
      <c r="J126" s="793"/>
      <c r="K126" s="807">
        <v>4833.2201591511939</v>
      </c>
      <c r="L126" s="785"/>
      <c r="M126" s="793"/>
      <c r="N126" s="807">
        <v>4935.6145004420869</v>
      </c>
      <c r="O126" s="785"/>
      <c r="P126" s="793"/>
      <c r="Q126" s="807">
        <v>5038.0088417329798</v>
      </c>
      <c r="R126" s="785"/>
      <c r="S126" s="793"/>
      <c r="T126" s="807">
        <v>5038.0088417329798</v>
      </c>
      <c r="U126" s="785"/>
      <c r="V126" s="793"/>
      <c r="W126" s="807">
        <v>4935.6145004420869</v>
      </c>
      <c r="X126" s="785"/>
      <c r="Y126" s="793"/>
      <c r="Z126" s="807">
        <v>5140.4031830238728</v>
      </c>
      <c r="AA126" s="785"/>
      <c r="AB126" s="793"/>
      <c r="AC126" s="807">
        <v>4935.6145004420869</v>
      </c>
      <c r="AD126" s="785"/>
      <c r="AE126" s="793"/>
      <c r="AF126" s="807">
        <v>5038.0088417329798</v>
      </c>
      <c r="AG126" s="785"/>
      <c r="AH126" s="793"/>
      <c r="AI126" s="807">
        <v>5140.4031830238728</v>
      </c>
      <c r="AJ126" s="785"/>
      <c r="AK126" s="793"/>
      <c r="AL126" s="807">
        <v>4833.2201591511939</v>
      </c>
      <c r="AM126" s="785"/>
      <c r="AN126" s="793"/>
      <c r="AO126" s="807">
        <v>5140.4031830238728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25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34121.149999999994</v>
      </c>
      <c r="F127" s="785"/>
      <c r="G127" s="793"/>
      <c r="H127" s="807">
        <v>3407.1664750957852</v>
      </c>
      <c r="I127" s="785"/>
      <c r="J127" s="793"/>
      <c r="K127" s="807">
        <v>2780.1969348659004</v>
      </c>
      <c r="L127" s="785"/>
      <c r="M127" s="793"/>
      <c r="N127" s="807">
        <v>2769.1867816091954</v>
      </c>
      <c r="O127" s="785"/>
      <c r="P127" s="793"/>
      <c r="Q127" s="807">
        <v>2428.1766283524903</v>
      </c>
      <c r="R127" s="785"/>
      <c r="S127" s="793"/>
      <c r="T127" s="807">
        <v>2593.1766283524903</v>
      </c>
      <c r="U127" s="785"/>
      <c r="V127" s="793"/>
      <c r="W127" s="807">
        <v>2769.1867816091954</v>
      </c>
      <c r="X127" s="785"/>
      <c r="Y127" s="793"/>
      <c r="Z127" s="807">
        <v>2912.1664750957852</v>
      </c>
      <c r="AA127" s="785"/>
      <c r="AB127" s="793"/>
      <c r="AC127" s="807">
        <v>2439.1867816091954</v>
      </c>
      <c r="AD127" s="785"/>
      <c r="AE127" s="793"/>
      <c r="AF127" s="807">
        <v>2923.1766283524903</v>
      </c>
      <c r="AG127" s="785"/>
      <c r="AH127" s="793"/>
      <c r="AI127" s="807">
        <v>3077.1664750957852</v>
      </c>
      <c r="AJ127" s="785"/>
      <c r="AK127" s="793"/>
      <c r="AL127" s="807">
        <v>2615.1969348659004</v>
      </c>
      <c r="AM127" s="785"/>
      <c r="AN127" s="793"/>
      <c r="AO127" s="807">
        <v>3407.1664750957852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25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25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25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25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25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25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43123.97919276006</v>
      </c>
      <c r="F133" s="785"/>
      <c r="G133" s="793"/>
      <c r="H133" s="807">
        <v>3623.5097047813611</v>
      </c>
      <c r="I133" s="785"/>
      <c r="J133" s="793"/>
      <c r="K133" s="807">
        <v>2505.7472357559682</v>
      </c>
      <c r="L133" s="785"/>
      <c r="M133" s="793"/>
      <c r="N133" s="807">
        <v>2783.7910755437661</v>
      </c>
      <c r="O133" s="785"/>
      <c r="P133" s="793"/>
      <c r="Q133" s="807">
        <v>4495.0217890410113</v>
      </c>
      <c r="R133" s="785"/>
      <c r="S133" s="793"/>
      <c r="T133" s="807">
        <v>4186.1466512953612</v>
      </c>
      <c r="U133" s="785"/>
      <c r="V133" s="793"/>
      <c r="W133" s="807">
        <v>3525.1782461664598</v>
      </c>
      <c r="X133" s="785"/>
      <c r="Y133" s="793"/>
      <c r="Z133" s="807">
        <v>3920.4896431873121</v>
      </c>
      <c r="AA133" s="785"/>
      <c r="AB133" s="793"/>
      <c r="AC133" s="807">
        <v>3271.621075543766</v>
      </c>
      <c r="AD133" s="785"/>
      <c r="AE133" s="793"/>
      <c r="AF133" s="807">
        <v>3568.3963758040609</v>
      </c>
      <c r="AG133" s="785"/>
      <c r="AH133" s="793"/>
      <c r="AI133" s="807">
        <v>3611.614505441662</v>
      </c>
      <c r="AJ133" s="785"/>
      <c r="AK133" s="793"/>
      <c r="AL133" s="807">
        <v>2749.6622357559681</v>
      </c>
      <c r="AM133" s="785"/>
      <c r="AN133" s="793"/>
      <c r="AO133" s="807">
        <v>4882.8006544433583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25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50205.375834867518</v>
      </c>
      <c r="F134" s="815"/>
      <c r="G134" s="816"/>
      <c r="H134" s="817">
        <v>4471.4572107692311</v>
      </c>
      <c r="I134" s="815"/>
      <c r="J134" s="816"/>
      <c r="K134" s="817">
        <v>4344.2030880769225</v>
      </c>
      <c r="L134" s="815"/>
      <c r="M134" s="816"/>
      <c r="N134" s="817">
        <v>4205.945211962865</v>
      </c>
      <c r="O134" s="815"/>
      <c r="P134" s="816"/>
      <c r="Q134" s="817">
        <v>5247.3307444031834</v>
      </c>
      <c r="R134" s="815"/>
      <c r="S134" s="816"/>
      <c r="T134" s="817">
        <v>4797.5506812600852</v>
      </c>
      <c r="U134" s="815"/>
      <c r="V134" s="816"/>
      <c r="W134" s="817">
        <v>4054.6522187267901</v>
      </c>
      <c r="X134" s="815"/>
      <c r="Y134" s="816"/>
      <c r="Z134" s="817">
        <v>4509.3385128912469</v>
      </c>
      <c r="AA134" s="815"/>
      <c r="AB134" s="816"/>
      <c r="AC134" s="817">
        <v>4676.2844721087531</v>
      </c>
      <c r="AD134" s="815"/>
      <c r="AE134" s="816"/>
      <c r="AF134" s="817">
        <v>3798.0659728381966</v>
      </c>
      <c r="AG134" s="815"/>
      <c r="AH134" s="816"/>
      <c r="AI134" s="817">
        <v>3689.0630636870028</v>
      </c>
      <c r="AJ134" s="815"/>
      <c r="AK134" s="816"/>
      <c r="AL134" s="817">
        <v>3481.9092441909816</v>
      </c>
      <c r="AM134" s="815"/>
      <c r="AN134" s="816"/>
      <c r="AO134" s="817">
        <v>2929.5754139522546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25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26207.693723076925</v>
      </c>
      <c r="F135" s="785"/>
      <c r="G135" s="793"/>
      <c r="H135" s="807">
        <v>1798.8620962864723</v>
      </c>
      <c r="I135" s="785"/>
      <c r="J135" s="793"/>
      <c r="K135" s="807">
        <v>1906.5468098143238</v>
      </c>
      <c r="L135" s="785"/>
      <c r="M135" s="793"/>
      <c r="N135" s="807">
        <v>2118.10190530504</v>
      </c>
      <c r="O135" s="785"/>
      <c r="P135" s="793"/>
      <c r="Q135" s="807">
        <v>2700.8320007957564</v>
      </c>
      <c r="R135" s="785"/>
      <c r="S135" s="793"/>
      <c r="T135" s="807">
        <v>2515.2445007957563</v>
      </c>
      <c r="U135" s="785"/>
      <c r="V135" s="793"/>
      <c r="W135" s="807">
        <v>2118.10190530504</v>
      </c>
      <c r="X135" s="785"/>
      <c r="Y135" s="793"/>
      <c r="Z135" s="807">
        <v>2355.6245962864723</v>
      </c>
      <c r="AA135" s="785"/>
      <c r="AB135" s="793"/>
      <c r="AC135" s="807">
        <v>2489.2769053050397</v>
      </c>
      <c r="AD135" s="785"/>
      <c r="AE135" s="793"/>
      <c r="AF135" s="807">
        <v>2144.0695007957561</v>
      </c>
      <c r="AG135" s="785"/>
      <c r="AH135" s="793"/>
      <c r="AI135" s="807">
        <v>2170.0370962864722</v>
      </c>
      <c r="AJ135" s="785"/>
      <c r="AK135" s="793"/>
      <c r="AL135" s="807">
        <v>2092.1343098143238</v>
      </c>
      <c r="AM135" s="785"/>
      <c r="AN135" s="793"/>
      <c r="AO135" s="807">
        <v>1798.8620962864723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25">
      <c r="A136" s="540" t="str">
        <f t="shared" si="2"/>
        <v>Véhicules usagésCsst</v>
      </c>
      <c r="B136" s="626" t="s">
        <v>116</v>
      </c>
      <c r="C136" s="785"/>
      <c r="D136" s="793"/>
      <c r="E136" s="807">
        <v>5615.9343692307675</v>
      </c>
      <c r="F136" s="785"/>
      <c r="G136" s="793"/>
      <c r="H136" s="807">
        <v>385.47044920424401</v>
      </c>
      <c r="I136" s="785"/>
      <c r="J136" s="793"/>
      <c r="K136" s="807">
        <v>408.54574496021218</v>
      </c>
      <c r="L136" s="785"/>
      <c r="M136" s="793"/>
      <c r="N136" s="807">
        <v>453.87897970822274</v>
      </c>
      <c r="O136" s="785"/>
      <c r="P136" s="793"/>
      <c r="Q136" s="807">
        <v>578.74971445623339</v>
      </c>
      <c r="R136" s="785"/>
      <c r="S136" s="793"/>
      <c r="T136" s="807">
        <v>538.98096445623344</v>
      </c>
      <c r="U136" s="785"/>
      <c r="V136" s="793"/>
      <c r="W136" s="807">
        <v>453.87897970822274</v>
      </c>
      <c r="X136" s="785"/>
      <c r="Y136" s="793"/>
      <c r="Z136" s="807">
        <v>504.77669920424404</v>
      </c>
      <c r="AA136" s="785"/>
      <c r="AB136" s="793"/>
      <c r="AC136" s="807">
        <v>533.41647970822271</v>
      </c>
      <c r="AD136" s="785"/>
      <c r="AE136" s="793"/>
      <c r="AF136" s="807">
        <v>459.44346445623336</v>
      </c>
      <c r="AG136" s="785"/>
      <c r="AH136" s="793"/>
      <c r="AI136" s="807">
        <v>465.00794920424403</v>
      </c>
      <c r="AJ136" s="785"/>
      <c r="AK136" s="793"/>
      <c r="AL136" s="807">
        <v>448.31449496021219</v>
      </c>
      <c r="AM136" s="785"/>
      <c r="AN136" s="793"/>
      <c r="AO136" s="807">
        <v>385.47044920424401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25">
      <c r="A137" s="540" t="str">
        <f t="shared" si="2"/>
        <v>Véhicules usagés[...]</v>
      </c>
      <c r="B137" s="550" t="s">
        <v>42</v>
      </c>
      <c r="C137" s="811"/>
      <c r="D137" s="818"/>
      <c r="E137" s="819">
        <v>0</v>
      </c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0.25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0.31318410912076511</v>
      </c>
      <c r="E138" s="814">
        <v>253131.05619685838</v>
      </c>
      <c r="F138" s="812" t="s">
        <v>108</v>
      </c>
      <c r="G138" s="813">
        <v>0.49680526105995337</v>
      </c>
      <c r="H138" s="814">
        <v>21635.869119160969</v>
      </c>
      <c r="I138" s="812" t="s">
        <v>108</v>
      </c>
      <c r="J138" s="813">
        <v>0.36749455858582591</v>
      </c>
      <c r="K138" s="814">
        <v>19587.459972624521</v>
      </c>
      <c r="L138" s="812" t="s">
        <v>108</v>
      </c>
      <c r="M138" s="813">
        <v>0.3098073835581972</v>
      </c>
      <c r="N138" s="814">
        <v>20075.518454571178</v>
      </c>
      <c r="O138" s="812" t="s">
        <v>108</v>
      </c>
      <c r="P138" s="813">
        <v>0.24142092972830731</v>
      </c>
      <c r="Q138" s="814">
        <v>23297.119718781654</v>
      </c>
      <c r="R138" s="812" t="s">
        <v>108</v>
      </c>
      <c r="S138" s="813">
        <v>0.26122147899933651</v>
      </c>
      <c r="T138" s="814">
        <v>22478.108267892909</v>
      </c>
      <c r="U138" s="812" t="s">
        <v>108</v>
      </c>
      <c r="V138" s="813">
        <v>0.31720050087425627</v>
      </c>
      <c r="W138" s="814">
        <v>20665.612631957796</v>
      </c>
      <c r="X138" s="812" t="s">
        <v>108</v>
      </c>
      <c r="Y138" s="813">
        <v>0.29301321573662609</v>
      </c>
      <c r="Z138" s="814">
        <v>22151.799109688931</v>
      </c>
      <c r="AA138" s="812" t="s">
        <v>108</v>
      </c>
      <c r="AB138" s="813">
        <v>0.24583846850339408</v>
      </c>
      <c r="AC138" s="814">
        <v>21154.400214717061</v>
      </c>
      <c r="AD138" s="812" t="s">
        <v>108</v>
      </c>
      <c r="AE138" s="813">
        <v>0.31834475493445458</v>
      </c>
      <c r="AF138" s="814">
        <v>20740.160783979714</v>
      </c>
      <c r="AG138" s="812" t="s">
        <v>108</v>
      </c>
      <c r="AH138" s="813">
        <v>0.32349216470276287</v>
      </c>
      <c r="AI138" s="814">
        <v>20962.292272739036</v>
      </c>
      <c r="AJ138" s="812" t="s">
        <v>108</v>
      </c>
      <c r="AK138" s="813">
        <v>0.29525891976320529</v>
      </c>
      <c r="AL138" s="814">
        <v>19029.437378738581</v>
      </c>
      <c r="AM138" s="812" t="s">
        <v>108</v>
      </c>
      <c r="AN138" s="813">
        <v>0.4983262140491479</v>
      </c>
      <c r="AO138" s="814">
        <v>21353.278272005988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25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25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25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11323.6</v>
      </c>
      <c r="F141" s="820"/>
      <c r="G141" s="821"/>
      <c r="H141" s="822">
        <v>943.63333333333344</v>
      </c>
      <c r="I141" s="820"/>
      <c r="J141" s="821"/>
      <c r="K141" s="822">
        <v>943.63333333333344</v>
      </c>
      <c r="L141" s="820"/>
      <c r="M141" s="821"/>
      <c r="N141" s="822">
        <v>943.63333333333344</v>
      </c>
      <c r="O141" s="820"/>
      <c r="P141" s="821"/>
      <c r="Q141" s="822">
        <v>943.63333333333344</v>
      </c>
      <c r="R141" s="820"/>
      <c r="S141" s="821"/>
      <c r="T141" s="822">
        <v>943.63333333333344</v>
      </c>
      <c r="U141" s="820"/>
      <c r="V141" s="821"/>
      <c r="W141" s="822">
        <v>943.63333333333344</v>
      </c>
      <c r="X141" s="820"/>
      <c r="Y141" s="821"/>
      <c r="Z141" s="822">
        <v>943.63333333333344</v>
      </c>
      <c r="AA141" s="820"/>
      <c r="AB141" s="821"/>
      <c r="AC141" s="822">
        <v>943.63333333333344</v>
      </c>
      <c r="AD141" s="820"/>
      <c r="AE141" s="821"/>
      <c r="AF141" s="822">
        <v>943.63333333333344</v>
      </c>
      <c r="AG141" s="820"/>
      <c r="AH141" s="821"/>
      <c r="AI141" s="822">
        <v>943.63333333333344</v>
      </c>
      <c r="AJ141" s="820"/>
      <c r="AK141" s="821"/>
      <c r="AL141" s="822">
        <v>943.63333333333344</v>
      </c>
      <c r="AM141" s="820"/>
      <c r="AN141" s="821"/>
      <c r="AO141" s="822">
        <v>943.63333333333344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25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17104.8</v>
      </c>
      <c r="F142" s="785"/>
      <c r="G142" s="793"/>
      <c r="H142" s="807">
        <v>1425.4</v>
      </c>
      <c r="I142" s="785"/>
      <c r="J142" s="793"/>
      <c r="K142" s="807">
        <v>1425.4</v>
      </c>
      <c r="L142" s="785"/>
      <c r="M142" s="793"/>
      <c r="N142" s="807">
        <v>1425.4</v>
      </c>
      <c r="O142" s="785"/>
      <c r="P142" s="793"/>
      <c r="Q142" s="807">
        <v>1425.4</v>
      </c>
      <c r="R142" s="785"/>
      <c r="S142" s="793"/>
      <c r="T142" s="807">
        <v>1425.4</v>
      </c>
      <c r="U142" s="785"/>
      <c r="V142" s="793"/>
      <c r="W142" s="807">
        <v>1425.4</v>
      </c>
      <c r="X142" s="785"/>
      <c r="Y142" s="793"/>
      <c r="Z142" s="807">
        <v>1425.4</v>
      </c>
      <c r="AA142" s="785"/>
      <c r="AB142" s="793"/>
      <c r="AC142" s="807">
        <v>1425.4</v>
      </c>
      <c r="AD142" s="785"/>
      <c r="AE142" s="793"/>
      <c r="AF142" s="807">
        <v>1425.4</v>
      </c>
      <c r="AG142" s="785"/>
      <c r="AH142" s="793"/>
      <c r="AI142" s="807">
        <v>1425.4</v>
      </c>
      <c r="AJ142" s="785"/>
      <c r="AK142" s="793"/>
      <c r="AL142" s="807">
        <v>1425.4</v>
      </c>
      <c r="AM142" s="785"/>
      <c r="AN142" s="793"/>
      <c r="AO142" s="807">
        <v>1425.4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25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2199.9999999999995</v>
      </c>
      <c r="F143" s="785"/>
      <c r="G143" s="793"/>
      <c r="H143" s="807">
        <v>183.33333333333334</v>
      </c>
      <c r="I143" s="785"/>
      <c r="J143" s="793"/>
      <c r="K143" s="807">
        <v>183.33333333333334</v>
      </c>
      <c r="L143" s="785"/>
      <c r="M143" s="793"/>
      <c r="N143" s="807">
        <v>183.33333333333334</v>
      </c>
      <c r="O143" s="785"/>
      <c r="P143" s="793"/>
      <c r="Q143" s="807">
        <v>183.33333333333334</v>
      </c>
      <c r="R143" s="785"/>
      <c r="S143" s="793"/>
      <c r="T143" s="807">
        <v>183.33333333333334</v>
      </c>
      <c r="U143" s="785"/>
      <c r="V143" s="793"/>
      <c r="W143" s="807">
        <v>183.33333333333334</v>
      </c>
      <c r="X143" s="785"/>
      <c r="Y143" s="793"/>
      <c r="Z143" s="807">
        <v>183.33333333333334</v>
      </c>
      <c r="AA143" s="785"/>
      <c r="AB143" s="793"/>
      <c r="AC143" s="807">
        <v>183.33333333333334</v>
      </c>
      <c r="AD143" s="785"/>
      <c r="AE143" s="793"/>
      <c r="AF143" s="807">
        <v>183.33333333333334</v>
      </c>
      <c r="AG143" s="785"/>
      <c r="AH143" s="793"/>
      <c r="AI143" s="807">
        <v>183.33333333333334</v>
      </c>
      <c r="AJ143" s="785"/>
      <c r="AK143" s="793"/>
      <c r="AL143" s="807">
        <v>183.33333333333334</v>
      </c>
      <c r="AM143" s="785"/>
      <c r="AN143" s="793"/>
      <c r="AO143" s="807">
        <v>183.33333333333334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25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8839.2000000000025</v>
      </c>
      <c r="F144" s="820"/>
      <c r="G144" s="821"/>
      <c r="H144" s="822">
        <v>736.6</v>
      </c>
      <c r="I144" s="820"/>
      <c r="J144" s="821"/>
      <c r="K144" s="822">
        <v>736.6</v>
      </c>
      <c r="L144" s="820"/>
      <c r="M144" s="821"/>
      <c r="N144" s="822">
        <v>736.6</v>
      </c>
      <c r="O144" s="820"/>
      <c r="P144" s="821"/>
      <c r="Q144" s="822">
        <v>736.6</v>
      </c>
      <c r="R144" s="820"/>
      <c r="S144" s="821"/>
      <c r="T144" s="822">
        <v>736.6</v>
      </c>
      <c r="U144" s="820"/>
      <c r="V144" s="821"/>
      <c r="W144" s="822">
        <v>736.6</v>
      </c>
      <c r="X144" s="820"/>
      <c r="Y144" s="821"/>
      <c r="Z144" s="822">
        <v>736.6</v>
      </c>
      <c r="AA144" s="820"/>
      <c r="AB144" s="821"/>
      <c r="AC144" s="822">
        <v>736.6</v>
      </c>
      <c r="AD144" s="820"/>
      <c r="AE144" s="821"/>
      <c r="AF144" s="822">
        <v>736.6</v>
      </c>
      <c r="AG144" s="820"/>
      <c r="AH144" s="821"/>
      <c r="AI144" s="822">
        <v>736.6</v>
      </c>
      <c r="AJ144" s="820"/>
      <c r="AK144" s="821"/>
      <c r="AL144" s="822">
        <v>736.6</v>
      </c>
      <c r="AM144" s="820"/>
      <c r="AN144" s="821"/>
      <c r="AO144" s="822">
        <v>736.6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25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210</v>
      </c>
      <c r="F145" s="785"/>
      <c r="G145" s="793"/>
      <c r="H145" s="807">
        <v>17.5</v>
      </c>
      <c r="I145" s="785"/>
      <c r="J145" s="793"/>
      <c r="K145" s="807">
        <v>17.5</v>
      </c>
      <c r="L145" s="785"/>
      <c r="M145" s="793"/>
      <c r="N145" s="807">
        <v>17.5</v>
      </c>
      <c r="O145" s="785"/>
      <c r="P145" s="793"/>
      <c r="Q145" s="807">
        <v>17.5</v>
      </c>
      <c r="R145" s="785"/>
      <c r="S145" s="793"/>
      <c r="T145" s="807">
        <v>17.5</v>
      </c>
      <c r="U145" s="785"/>
      <c r="V145" s="793"/>
      <c r="W145" s="807">
        <v>17.5</v>
      </c>
      <c r="X145" s="785"/>
      <c r="Y145" s="793"/>
      <c r="Z145" s="807">
        <v>17.5</v>
      </c>
      <c r="AA145" s="785"/>
      <c r="AB145" s="793"/>
      <c r="AC145" s="807">
        <v>17.5</v>
      </c>
      <c r="AD145" s="785"/>
      <c r="AE145" s="793"/>
      <c r="AF145" s="807">
        <v>17.5</v>
      </c>
      <c r="AG145" s="785"/>
      <c r="AH145" s="793"/>
      <c r="AI145" s="807">
        <v>17.5</v>
      </c>
      <c r="AJ145" s="785"/>
      <c r="AK145" s="793"/>
      <c r="AL145" s="807">
        <v>17.5</v>
      </c>
      <c r="AM145" s="785"/>
      <c r="AN145" s="793"/>
      <c r="AO145" s="807">
        <v>17.5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25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120</v>
      </c>
      <c r="F146" s="785"/>
      <c r="G146" s="793"/>
      <c r="H146" s="807">
        <v>10</v>
      </c>
      <c r="I146" s="785"/>
      <c r="J146" s="793"/>
      <c r="K146" s="807">
        <v>10</v>
      </c>
      <c r="L146" s="785"/>
      <c r="M146" s="793"/>
      <c r="N146" s="807">
        <v>10</v>
      </c>
      <c r="O146" s="785"/>
      <c r="P146" s="793"/>
      <c r="Q146" s="807">
        <v>10</v>
      </c>
      <c r="R146" s="785"/>
      <c r="S146" s="793"/>
      <c r="T146" s="807">
        <v>10</v>
      </c>
      <c r="U146" s="785"/>
      <c r="V146" s="793"/>
      <c r="W146" s="807">
        <v>10</v>
      </c>
      <c r="X146" s="785"/>
      <c r="Y146" s="793"/>
      <c r="Z146" s="807">
        <v>10</v>
      </c>
      <c r="AA146" s="785"/>
      <c r="AB146" s="793"/>
      <c r="AC146" s="807">
        <v>10</v>
      </c>
      <c r="AD146" s="785"/>
      <c r="AE146" s="793"/>
      <c r="AF146" s="807">
        <v>10</v>
      </c>
      <c r="AG146" s="785"/>
      <c r="AH146" s="793"/>
      <c r="AI146" s="807">
        <v>10</v>
      </c>
      <c r="AJ146" s="785"/>
      <c r="AK146" s="793"/>
      <c r="AL146" s="807">
        <v>10</v>
      </c>
      <c r="AM146" s="785"/>
      <c r="AN146" s="793"/>
      <c r="AO146" s="807">
        <v>10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25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1890</v>
      </c>
      <c r="F147" s="785"/>
      <c r="G147" s="793"/>
      <c r="H147" s="807">
        <v>157.5</v>
      </c>
      <c r="I147" s="785"/>
      <c r="J147" s="793"/>
      <c r="K147" s="807">
        <v>157.5</v>
      </c>
      <c r="L147" s="785"/>
      <c r="M147" s="793"/>
      <c r="N147" s="807">
        <v>157.5</v>
      </c>
      <c r="O147" s="785"/>
      <c r="P147" s="793"/>
      <c r="Q147" s="807">
        <v>157.5</v>
      </c>
      <c r="R147" s="785"/>
      <c r="S147" s="793"/>
      <c r="T147" s="807">
        <v>157.5</v>
      </c>
      <c r="U147" s="785"/>
      <c r="V147" s="793"/>
      <c r="W147" s="807">
        <v>157.5</v>
      </c>
      <c r="X147" s="785"/>
      <c r="Y147" s="793"/>
      <c r="Z147" s="807">
        <v>157.5</v>
      </c>
      <c r="AA147" s="785"/>
      <c r="AB147" s="793"/>
      <c r="AC147" s="807">
        <v>157.5</v>
      </c>
      <c r="AD147" s="785"/>
      <c r="AE147" s="793"/>
      <c r="AF147" s="807">
        <v>157.5</v>
      </c>
      <c r="AG147" s="785"/>
      <c r="AH147" s="793"/>
      <c r="AI147" s="807">
        <v>157.5</v>
      </c>
      <c r="AJ147" s="785"/>
      <c r="AK147" s="793"/>
      <c r="AL147" s="807">
        <v>157.5</v>
      </c>
      <c r="AM147" s="785"/>
      <c r="AN147" s="793"/>
      <c r="AO147" s="807">
        <v>157.5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25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758.40000000000009</v>
      </c>
      <c r="F148" s="785"/>
      <c r="G148" s="793"/>
      <c r="H148" s="807">
        <v>63.2</v>
      </c>
      <c r="I148" s="785"/>
      <c r="J148" s="793"/>
      <c r="K148" s="807">
        <v>63.2</v>
      </c>
      <c r="L148" s="785"/>
      <c r="M148" s="793"/>
      <c r="N148" s="807">
        <v>63.2</v>
      </c>
      <c r="O148" s="785"/>
      <c r="P148" s="793"/>
      <c r="Q148" s="807">
        <v>63.2</v>
      </c>
      <c r="R148" s="785"/>
      <c r="S148" s="793"/>
      <c r="T148" s="807">
        <v>63.2</v>
      </c>
      <c r="U148" s="785"/>
      <c r="V148" s="793"/>
      <c r="W148" s="807">
        <v>63.2</v>
      </c>
      <c r="X148" s="785"/>
      <c r="Y148" s="793"/>
      <c r="Z148" s="807">
        <v>63.2</v>
      </c>
      <c r="AA148" s="785"/>
      <c r="AB148" s="793"/>
      <c r="AC148" s="807">
        <v>63.2</v>
      </c>
      <c r="AD148" s="785"/>
      <c r="AE148" s="793"/>
      <c r="AF148" s="807">
        <v>63.2</v>
      </c>
      <c r="AG148" s="785"/>
      <c r="AH148" s="793"/>
      <c r="AI148" s="807">
        <v>63.2</v>
      </c>
      <c r="AJ148" s="785"/>
      <c r="AK148" s="793"/>
      <c r="AL148" s="807">
        <v>63.2</v>
      </c>
      <c r="AM148" s="785"/>
      <c r="AN148" s="793"/>
      <c r="AO148" s="807">
        <v>63.2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25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540</v>
      </c>
      <c r="F149" s="785"/>
      <c r="G149" s="793"/>
      <c r="H149" s="807">
        <v>45</v>
      </c>
      <c r="I149" s="785"/>
      <c r="J149" s="793"/>
      <c r="K149" s="807">
        <v>45</v>
      </c>
      <c r="L149" s="785"/>
      <c r="M149" s="793"/>
      <c r="N149" s="807">
        <v>45</v>
      </c>
      <c r="O149" s="785"/>
      <c r="P149" s="793"/>
      <c r="Q149" s="807">
        <v>45</v>
      </c>
      <c r="R149" s="785"/>
      <c r="S149" s="793"/>
      <c r="T149" s="807">
        <v>45</v>
      </c>
      <c r="U149" s="785"/>
      <c r="V149" s="793"/>
      <c r="W149" s="807">
        <v>45</v>
      </c>
      <c r="X149" s="785"/>
      <c r="Y149" s="793"/>
      <c r="Z149" s="807">
        <v>45</v>
      </c>
      <c r="AA149" s="785"/>
      <c r="AB149" s="793"/>
      <c r="AC149" s="807">
        <v>45</v>
      </c>
      <c r="AD149" s="785"/>
      <c r="AE149" s="793"/>
      <c r="AF149" s="807">
        <v>45</v>
      </c>
      <c r="AG149" s="785"/>
      <c r="AH149" s="793"/>
      <c r="AI149" s="807">
        <v>45</v>
      </c>
      <c r="AJ149" s="785"/>
      <c r="AK149" s="793"/>
      <c r="AL149" s="807">
        <v>45</v>
      </c>
      <c r="AM149" s="785"/>
      <c r="AN149" s="793"/>
      <c r="AO149" s="807">
        <v>45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25">
      <c r="A150" s="540" t="str">
        <f t="shared" si="2"/>
        <v>Véhicules usagésDivers</v>
      </c>
      <c r="B150" s="550" t="s">
        <v>129</v>
      </c>
      <c r="C150" s="785"/>
      <c r="D150" s="793"/>
      <c r="E150" s="807">
        <v>2089.1999999999998</v>
      </c>
      <c r="F150" s="785"/>
      <c r="G150" s="793"/>
      <c r="H150" s="807">
        <v>174.10000000000002</v>
      </c>
      <c r="I150" s="785"/>
      <c r="J150" s="793"/>
      <c r="K150" s="807">
        <v>174.10000000000002</v>
      </c>
      <c r="L150" s="785"/>
      <c r="M150" s="793"/>
      <c r="N150" s="807">
        <v>174.10000000000002</v>
      </c>
      <c r="O150" s="785"/>
      <c r="P150" s="793"/>
      <c r="Q150" s="807">
        <v>174.10000000000002</v>
      </c>
      <c r="R150" s="785"/>
      <c r="S150" s="793"/>
      <c r="T150" s="807">
        <v>174.10000000000002</v>
      </c>
      <c r="U150" s="785"/>
      <c r="V150" s="793"/>
      <c r="W150" s="807">
        <v>174.10000000000002</v>
      </c>
      <c r="X150" s="785"/>
      <c r="Y150" s="793"/>
      <c r="Z150" s="807">
        <v>174.10000000000002</v>
      </c>
      <c r="AA150" s="785"/>
      <c r="AB150" s="793"/>
      <c r="AC150" s="807">
        <v>174.10000000000002</v>
      </c>
      <c r="AD150" s="785"/>
      <c r="AE150" s="793"/>
      <c r="AF150" s="807">
        <v>174.10000000000002</v>
      </c>
      <c r="AG150" s="785"/>
      <c r="AH150" s="793"/>
      <c r="AI150" s="807">
        <v>174.10000000000002</v>
      </c>
      <c r="AJ150" s="785"/>
      <c r="AK150" s="793"/>
      <c r="AL150" s="807">
        <v>174.10000000000002</v>
      </c>
      <c r="AM150" s="785"/>
      <c r="AN150" s="793"/>
      <c r="AO150" s="807">
        <v>174.10000000000002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25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1488.4893600000003</v>
      </c>
      <c r="F151" s="785"/>
      <c r="G151" s="793"/>
      <c r="H151" s="807">
        <v>124.04077999999998</v>
      </c>
      <c r="I151" s="785"/>
      <c r="J151" s="793"/>
      <c r="K151" s="807">
        <v>124.04077999999998</v>
      </c>
      <c r="L151" s="785"/>
      <c r="M151" s="793"/>
      <c r="N151" s="807">
        <v>124.04077999999998</v>
      </c>
      <c r="O151" s="785"/>
      <c r="P151" s="793"/>
      <c r="Q151" s="807">
        <v>124.04077999999998</v>
      </c>
      <c r="R151" s="785"/>
      <c r="S151" s="793"/>
      <c r="T151" s="807">
        <v>124.04077999999998</v>
      </c>
      <c r="U151" s="785"/>
      <c r="V151" s="793"/>
      <c r="W151" s="807">
        <v>124.04077999999998</v>
      </c>
      <c r="X151" s="785"/>
      <c r="Y151" s="793"/>
      <c r="Z151" s="807">
        <v>124.04077999999998</v>
      </c>
      <c r="AA151" s="785"/>
      <c r="AB151" s="793"/>
      <c r="AC151" s="807">
        <v>124.04077999999998</v>
      </c>
      <c r="AD151" s="785"/>
      <c r="AE151" s="793"/>
      <c r="AF151" s="807">
        <v>124.04077999999998</v>
      </c>
      <c r="AG151" s="785"/>
      <c r="AH151" s="793"/>
      <c r="AI151" s="807">
        <v>124.04077999999998</v>
      </c>
      <c r="AJ151" s="785"/>
      <c r="AK151" s="793"/>
      <c r="AL151" s="807">
        <v>124.04077999999998</v>
      </c>
      <c r="AM151" s="785"/>
      <c r="AN151" s="793"/>
      <c r="AO151" s="807">
        <v>124.04077999999998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25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7852.6351005882361</v>
      </c>
      <c r="F152" s="785"/>
      <c r="G152" s="793"/>
      <c r="H152" s="807">
        <v>439.589451922781</v>
      </c>
      <c r="I152" s="785"/>
      <c r="J152" s="793"/>
      <c r="K152" s="807">
        <v>427.6852218551021</v>
      </c>
      <c r="L152" s="785"/>
      <c r="M152" s="793"/>
      <c r="N152" s="807">
        <v>685.80142248837114</v>
      </c>
      <c r="O152" s="785"/>
      <c r="P152" s="793"/>
      <c r="Q152" s="807">
        <v>907.42156600810199</v>
      </c>
      <c r="R152" s="785"/>
      <c r="S152" s="793"/>
      <c r="T152" s="807">
        <v>940.425877335427</v>
      </c>
      <c r="U152" s="785"/>
      <c r="V152" s="793"/>
      <c r="W152" s="807">
        <v>657.80970558663012</v>
      </c>
      <c r="X152" s="785"/>
      <c r="Y152" s="793"/>
      <c r="Z152" s="807">
        <v>597.2516820486486</v>
      </c>
      <c r="AA152" s="785"/>
      <c r="AB152" s="793"/>
      <c r="AC152" s="807">
        <v>698.36378724392489</v>
      </c>
      <c r="AD152" s="785"/>
      <c r="AE152" s="793"/>
      <c r="AF152" s="807">
        <v>693.78446673904728</v>
      </c>
      <c r="AG152" s="785"/>
      <c r="AH152" s="793"/>
      <c r="AI152" s="807">
        <v>690.41409478158016</v>
      </c>
      <c r="AJ152" s="785"/>
      <c r="AK152" s="793"/>
      <c r="AL152" s="807">
        <v>637.96195216605292</v>
      </c>
      <c r="AM152" s="785"/>
      <c r="AN152" s="793"/>
      <c r="AO152" s="807">
        <v>476.12587241256836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25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25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25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/>
      <c r="G155" s="818"/>
      <c r="H155" s="794"/>
      <c r="I155" s="811"/>
      <c r="J155" s="818"/>
      <c r="K155" s="794"/>
      <c r="L155" s="811"/>
      <c r="M155" s="818"/>
      <c r="N155" s="794"/>
      <c r="O155" s="811"/>
      <c r="P155" s="818"/>
      <c r="Q155" s="794"/>
      <c r="R155" s="811"/>
      <c r="S155" s="818"/>
      <c r="T155" s="794"/>
      <c r="U155" s="811"/>
      <c r="V155" s="818"/>
      <c r="W155" s="794"/>
      <c r="X155" s="811"/>
      <c r="Y155" s="818"/>
      <c r="Z155" s="794"/>
      <c r="AA155" s="811"/>
      <c r="AB155" s="818"/>
      <c r="AC155" s="794"/>
      <c r="AD155" s="811"/>
      <c r="AE155" s="818"/>
      <c r="AF155" s="794"/>
      <c r="AG155" s="811"/>
      <c r="AH155" s="818"/>
      <c r="AI155" s="794"/>
      <c r="AJ155" s="811"/>
      <c r="AK155" s="818"/>
      <c r="AL155" s="794"/>
      <c r="AM155" s="811"/>
      <c r="AN155" s="818"/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0.25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6.7326105116719132E-2</v>
      </c>
      <c r="E156" s="814">
        <v>54416.324460588243</v>
      </c>
      <c r="F156" s="812" t="s">
        <v>108</v>
      </c>
      <c r="G156" s="813">
        <v>9.9193958635808224E-2</v>
      </c>
      <c r="H156" s="814">
        <v>4319.896898589448</v>
      </c>
      <c r="I156" s="812" t="s">
        <v>108</v>
      </c>
      <c r="J156" s="813">
        <v>8.0825378396280845E-2</v>
      </c>
      <c r="K156" s="814">
        <v>4307.9926685217688</v>
      </c>
      <c r="L156" s="812" t="s">
        <v>108</v>
      </c>
      <c r="M156" s="813">
        <v>7.0464643042516012E-2</v>
      </c>
      <c r="N156" s="814">
        <v>4566.1088691550376</v>
      </c>
      <c r="O156" s="812" t="s">
        <v>108</v>
      </c>
      <c r="P156" s="813">
        <v>4.9613772152070142E-2</v>
      </c>
      <c r="Q156" s="814">
        <v>4787.7290126747685</v>
      </c>
      <c r="R156" s="812" t="s">
        <v>108</v>
      </c>
      <c r="S156" s="813">
        <v>5.6022467449181795E-2</v>
      </c>
      <c r="T156" s="814">
        <v>4820.7333240020935</v>
      </c>
      <c r="U156" s="812" t="s">
        <v>108</v>
      </c>
      <c r="V156" s="813">
        <v>6.96564413239186E-2</v>
      </c>
      <c r="W156" s="814">
        <v>4538.1171522532968</v>
      </c>
      <c r="X156" s="812" t="s">
        <v>108</v>
      </c>
      <c r="Y156" s="813">
        <v>5.9226972602054437E-2</v>
      </c>
      <c r="Z156" s="814">
        <v>4477.5591287153156</v>
      </c>
      <c r="AA156" s="812" t="s">
        <v>108</v>
      </c>
      <c r="AB156" s="813">
        <v>5.3209427471360739E-2</v>
      </c>
      <c r="AC156" s="814">
        <v>4578.6712339105916</v>
      </c>
      <c r="AD156" s="812" t="s">
        <v>108</v>
      </c>
      <c r="AE156" s="813">
        <v>7.0208624917969517E-2</v>
      </c>
      <c r="AF156" s="814">
        <v>4574.091913405714</v>
      </c>
      <c r="AG156" s="812" t="s">
        <v>108</v>
      </c>
      <c r="AH156" s="813">
        <v>7.05358262569174E-2</v>
      </c>
      <c r="AI156" s="814">
        <v>4570.7215414482471</v>
      </c>
      <c r="AJ156" s="812" t="s">
        <v>108</v>
      </c>
      <c r="AK156" s="813">
        <v>7.0105033341081757E-2</v>
      </c>
      <c r="AL156" s="814">
        <v>4518.2693988327192</v>
      </c>
      <c r="AM156" s="812" t="s">
        <v>108</v>
      </c>
      <c r="AN156" s="813">
        <v>0.10166705528773011</v>
      </c>
      <c r="AO156" s="814">
        <v>4356.4333190792349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25">
      <c r="A157" s="540" t="str">
        <f t="shared" si="2"/>
        <v>Véhicules usagés</v>
      </c>
      <c r="B157" s="610"/>
      <c r="C157" s="811"/>
      <c r="D157" s="818"/>
      <c r="E157" s="819"/>
      <c r="F157" s="811"/>
      <c r="G157" s="818"/>
      <c r="H157" s="819"/>
      <c r="I157" s="811"/>
      <c r="J157" s="818"/>
      <c r="K157" s="819"/>
      <c r="L157" s="811"/>
      <c r="M157" s="818"/>
      <c r="N157" s="819"/>
      <c r="O157" s="811"/>
      <c r="P157" s="818"/>
      <c r="Q157" s="819"/>
      <c r="R157" s="811"/>
      <c r="S157" s="818"/>
      <c r="T157" s="819"/>
      <c r="U157" s="811"/>
      <c r="V157" s="818"/>
      <c r="W157" s="819"/>
      <c r="X157" s="811"/>
      <c r="Y157" s="818"/>
      <c r="Z157" s="819"/>
      <c r="AA157" s="811"/>
      <c r="AB157" s="818"/>
      <c r="AC157" s="819"/>
      <c r="AD157" s="811"/>
      <c r="AE157" s="818"/>
      <c r="AF157" s="819"/>
      <c r="AG157" s="811"/>
      <c r="AH157" s="818"/>
      <c r="AI157" s="819"/>
      <c r="AJ157" s="811"/>
      <c r="AK157" s="818"/>
      <c r="AL157" s="819"/>
      <c r="AM157" s="811"/>
      <c r="AN157" s="818"/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0.25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0.91480858942911292</v>
      </c>
      <c r="E158" s="823">
        <v>739394.04240608052</v>
      </c>
      <c r="F158" s="812" t="s">
        <v>108</v>
      </c>
      <c r="G158" s="813">
        <v>1.2513242184002578</v>
      </c>
      <c r="H158" s="823">
        <v>54495.169711331226</v>
      </c>
      <c r="I158" s="812" t="s">
        <v>108</v>
      </c>
      <c r="J158" s="813">
        <v>1.0393038258167879</v>
      </c>
      <c r="K158" s="823">
        <v>55394.893916034795</v>
      </c>
      <c r="L158" s="812" t="s">
        <v>108</v>
      </c>
      <c r="M158" s="813">
        <v>0.93114666144561875</v>
      </c>
      <c r="N158" s="823">
        <v>60338.303661676095</v>
      </c>
      <c r="O158" s="812" t="s">
        <v>108</v>
      </c>
      <c r="P158" s="813">
        <v>0.75988994381163577</v>
      </c>
      <c r="Q158" s="823">
        <v>73329.379577822852</v>
      </c>
      <c r="R158" s="812" t="s">
        <v>108</v>
      </c>
      <c r="S158" s="813">
        <v>0.80277021525811609</v>
      </c>
      <c r="T158" s="823">
        <v>69078.377022960893</v>
      </c>
      <c r="U158" s="812" t="s">
        <v>108</v>
      </c>
      <c r="V158" s="813">
        <v>0.92669146575204397</v>
      </c>
      <c r="W158" s="823">
        <v>60373.948993745667</v>
      </c>
      <c r="X158" s="812" t="s">
        <v>108</v>
      </c>
      <c r="Y158" s="813">
        <v>0.86724534626834249</v>
      </c>
      <c r="Z158" s="823">
        <v>65563.748177886693</v>
      </c>
      <c r="AA158" s="812" t="s">
        <v>108</v>
      </c>
      <c r="AB158" s="813">
        <v>0.78376380103343712</v>
      </c>
      <c r="AC158" s="823">
        <v>67442.87507892726</v>
      </c>
      <c r="AD158" s="812" t="s">
        <v>108</v>
      </c>
      <c r="AE158" s="813">
        <v>0.92673440136101137</v>
      </c>
      <c r="AF158" s="823">
        <v>60376.746248669893</v>
      </c>
      <c r="AG158" s="812" t="s">
        <v>108</v>
      </c>
      <c r="AH158" s="813">
        <v>0.93856536467158802</v>
      </c>
      <c r="AI158" s="823">
        <v>60819.035630718907</v>
      </c>
      <c r="AJ158" s="812" t="s">
        <v>108</v>
      </c>
      <c r="AK158" s="813">
        <v>0.90171950053204675</v>
      </c>
      <c r="AL158" s="823">
        <v>58115.821809290414</v>
      </c>
      <c r="AM158" s="812" t="s">
        <v>108</v>
      </c>
      <c r="AN158" s="813">
        <v>1.2617442841777307</v>
      </c>
      <c r="AO158" s="823">
        <v>54065.742577015757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25">
      <c r="A159" s="540" t="str">
        <f t="shared" si="2"/>
        <v>Véhicules usagésRBSC used</v>
      </c>
      <c r="B159" s="251" t="s">
        <v>394</v>
      </c>
      <c r="C159" s="837"/>
      <c r="D159" s="848"/>
      <c r="E159" s="807">
        <v>28125</v>
      </c>
      <c r="F159" s="837"/>
      <c r="G159" s="848"/>
      <c r="H159" s="807">
        <v>1500</v>
      </c>
      <c r="I159" s="837"/>
      <c r="J159" s="848"/>
      <c r="K159" s="807">
        <v>1875</v>
      </c>
      <c r="L159" s="837"/>
      <c r="M159" s="848"/>
      <c r="N159" s="807">
        <v>2250</v>
      </c>
      <c r="O159" s="837"/>
      <c r="P159" s="848"/>
      <c r="Q159" s="807">
        <v>3375</v>
      </c>
      <c r="R159" s="837"/>
      <c r="S159" s="848"/>
      <c r="T159" s="807">
        <v>3000</v>
      </c>
      <c r="U159" s="837"/>
      <c r="V159" s="848"/>
      <c r="W159" s="807">
        <v>2250</v>
      </c>
      <c r="X159" s="837"/>
      <c r="Y159" s="848"/>
      <c r="Z159" s="807">
        <v>2625</v>
      </c>
      <c r="AA159" s="837"/>
      <c r="AB159" s="848"/>
      <c r="AC159" s="807">
        <v>3000</v>
      </c>
      <c r="AD159" s="837"/>
      <c r="AE159" s="848"/>
      <c r="AF159" s="807">
        <v>2250</v>
      </c>
      <c r="AG159" s="837"/>
      <c r="AH159" s="848"/>
      <c r="AI159" s="807">
        <v>2250</v>
      </c>
      <c r="AJ159" s="837"/>
      <c r="AK159" s="848"/>
      <c r="AL159" s="807">
        <v>2250</v>
      </c>
      <c r="AM159" s="837"/>
      <c r="AN159" s="848"/>
      <c r="AO159" s="807">
        <v>1500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25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10050</v>
      </c>
      <c r="F160" s="837"/>
      <c r="G160" s="848"/>
      <c r="H160" s="807">
        <v>536</v>
      </c>
      <c r="I160" s="837"/>
      <c r="J160" s="848"/>
      <c r="K160" s="807">
        <v>670</v>
      </c>
      <c r="L160" s="837"/>
      <c r="M160" s="848"/>
      <c r="N160" s="807">
        <v>804</v>
      </c>
      <c r="O160" s="837"/>
      <c r="P160" s="848"/>
      <c r="Q160" s="807">
        <v>1206</v>
      </c>
      <c r="R160" s="837"/>
      <c r="S160" s="848"/>
      <c r="T160" s="807">
        <v>1072</v>
      </c>
      <c r="U160" s="837"/>
      <c r="V160" s="848"/>
      <c r="W160" s="807">
        <v>804</v>
      </c>
      <c r="X160" s="837"/>
      <c r="Y160" s="848"/>
      <c r="Z160" s="807">
        <v>938</v>
      </c>
      <c r="AA160" s="837"/>
      <c r="AB160" s="848"/>
      <c r="AC160" s="807">
        <v>1072</v>
      </c>
      <c r="AD160" s="837"/>
      <c r="AE160" s="848"/>
      <c r="AF160" s="807">
        <v>804</v>
      </c>
      <c r="AG160" s="837"/>
      <c r="AH160" s="848"/>
      <c r="AI160" s="807">
        <v>804</v>
      </c>
      <c r="AJ160" s="837"/>
      <c r="AK160" s="848"/>
      <c r="AL160" s="807">
        <v>804</v>
      </c>
      <c r="AM160" s="837"/>
      <c r="AN160" s="848"/>
      <c r="AO160" s="807">
        <v>536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25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>
        <v>0</v>
      </c>
      <c r="I161" s="785"/>
      <c r="J161" s="793"/>
      <c r="K161" s="807">
        <v>0</v>
      </c>
      <c r="L161" s="785"/>
      <c r="M161" s="793"/>
      <c r="N161" s="807">
        <v>0</v>
      </c>
      <c r="O161" s="785"/>
      <c r="P161" s="793"/>
      <c r="Q161" s="807">
        <v>0</v>
      </c>
      <c r="R161" s="785"/>
      <c r="S161" s="793"/>
      <c r="T161" s="807">
        <v>0</v>
      </c>
      <c r="U161" s="785"/>
      <c r="V161" s="793"/>
      <c r="W161" s="807">
        <v>0</v>
      </c>
      <c r="X161" s="785"/>
      <c r="Y161" s="793"/>
      <c r="Z161" s="807">
        <v>0</v>
      </c>
      <c r="AA161" s="785"/>
      <c r="AB161" s="793"/>
      <c r="AC161" s="807">
        <v>0</v>
      </c>
      <c r="AD161" s="785"/>
      <c r="AE161" s="793"/>
      <c r="AF161" s="807">
        <v>0</v>
      </c>
      <c r="AG161" s="785"/>
      <c r="AH161" s="793"/>
      <c r="AI161" s="807">
        <v>0</v>
      </c>
      <c r="AJ161" s="785"/>
      <c r="AK161" s="793"/>
      <c r="AL161" s="807">
        <v>0</v>
      </c>
      <c r="AM161" s="785"/>
      <c r="AN161" s="793"/>
      <c r="AO161" s="807">
        <v>0</v>
      </c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25">
      <c r="A162" s="540" t="str">
        <f t="shared" si="2"/>
        <v>Véhicules usagés[...]</v>
      </c>
      <c r="B162" s="550" t="s">
        <v>42</v>
      </c>
      <c r="C162" s="785"/>
      <c r="D162" s="793"/>
      <c r="E162" s="807">
        <v>0</v>
      </c>
      <c r="F162" s="785"/>
      <c r="G162" s="793"/>
      <c r="H162" s="807">
        <v>0</v>
      </c>
      <c r="I162" s="785"/>
      <c r="J162" s="793"/>
      <c r="K162" s="807">
        <v>0</v>
      </c>
      <c r="L162" s="785"/>
      <c r="M162" s="793"/>
      <c r="N162" s="807">
        <v>0</v>
      </c>
      <c r="O162" s="785"/>
      <c r="P162" s="793"/>
      <c r="Q162" s="807">
        <v>0</v>
      </c>
      <c r="R162" s="785"/>
      <c r="S162" s="793"/>
      <c r="T162" s="807">
        <v>0</v>
      </c>
      <c r="U162" s="785"/>
      <c r="V162" s="793"/>
      <c r="W162" s="807">
        <v>0</v>
      </c>
      <c r="X162" s="785"/>
      <c r="Y162" s="793"/>
      <c r="Z162" s="807">
        <v>0</v>
      </c>
      <c r="AA162" s="785"/>
      <c r="AB162" s="793"/>
      <c r="AC162" s="807">
        <v>0</v>
      </c>
      <c r="AD162" s="785"/>
      <c r="AE162" s="793"/>
      <c r="AF162" s="807">
        <v>0</v>
      </c>
      <c r="AG162" s="785"/>
      <c r="AH162" s="793"/>
      <c r="AI162" s="807">
        <v>0</v>
      </c>
      <c r="AJ162" s="785"/>
      <c r="AK162" s="793"/>
      <c r="AL162" s="807">
        <v>0</v>
      </c>
      <c r="AM162" s="785"/>
      <c r="AN162" s="793"/>
      <c r="AO162" s="807">
        <v>0</v>
      </c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25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>
        <v>0</v>
      </c>
      <c r="I163" s="785"/>
      <c r="J163" s="793"/>
      <c r="K163" s="807">
        <v>0</v>
      </c>
      <c r="L163" s="785"/>
      <c r="M163" s="793"/>
      <c r="N163" s="807">
        <v>0</v>
      </c>
      <c r="O163" s="785"/>
      <c r="P163" s="793"/>
      <c r="Q163" s="807">
        <v>0</v>
      </c>
      <c r="R163" s="785"/>
      <c r="S163" s="793"/>
      <c r="T163" s="807">
        <v>0</v>
      </c>
      <c r="U163" s="785"/>
      <c r="V163" s="793"/>
      <c r="W163" s="807">
        <v>0</v>
      </c>
      <c r="X163" s="785"/>
      <c r="Y163" s="793"/>
      <c r="Z163" s="807">
        <v>0</v>
      </c>
      <c r="AA163" s="785"/>
      <c r="AB163" s="793"/>
      <c r="AC163" s="807">
        <v>0</v>
      </c>
      <c r="AD163" s="785"/>
      <c r="AE163" s="793"/>
      <c r="AF163" s="807">
        <v>0</v>
      </c>
      <c r="AG163" s="785"/>
      <c r="AH163" s="793"/>
      <c r="AI163" s="807">
        <v>0</v>
      </c>
      <c r="AJ163" s="785"/>
      <c r="AK163" s="793"/>
      <c r="AL163" s="807">
        <v>0</v>
      </c>
      <c r="AM163" s="785"/>
      <c r="AN163" s="793"/>
      <c r="AO163" s="807">
        <v>0</v>
      </c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25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25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111116.25</v>
      </c>
      <c r="F165" s="811"/>
      <c r="G165" s="818"/>
      <c r="H165" s="810">
        <v>5926.2</v>
      </c>
      <c r="I165" s="811"/>
      <c r="J165" s="818"/>
      <c r="K165" s="810">
        <v>7407.75</v>
      </c>
      <c r="L165" s="811"/>
      <c r="M165" s="818"/>
      <c r="N165" s="810">
        <v>8889.2999999999993</v>
      </c>
      <c r="O165" s="811"/>
      <c r="P165" s="818"/>
      <c r="Q165" s="810">
        <v>13333.949999999999</v>
      </c>
      <c r="R165" s="811"/>
      <c r="S165" s="818"/>
      <c r="T165" s="810">
        <v>11852.4</v>
      </c>
      <c r="U165" s="811"/>
      <c r="V165" s="818"/>
      <c r="W165" s="810">
        <v>8889.2999999999993</v>
      </c>
      <c r="X165" s="811"/>
      <c r="Y165" s="818"/>
      <c r="Z165" s="810">
        <v>10370.85</v>
      </c>
      <c r="AA165" s="811"/>
      <c r="AB165" s="818"/>
      <c r="AC165" s="810">
        <v>11852.4</v>
      </c>
      <c r="AD165" s="811"/>
      <c r="AE165" s="818"/>
      <c r="AF165" s="810">
        <v>8889.2999999999993</v>
      </c>
      <c r="AG165" s="811"/>
      <c r="AH165" s="818"/>
      <c r="AI165" s="810">
        <v>8889.2999999999993</v>
      </c>
      <c r="AJ165" s="811"/>
      <c r="AK165" s="818"/>
      <c r="AL165" s="810">
        <v>8889.2999999999993</v>
      </c>
      <c r="AM165" s="811"/>
      <c r="AN165" s="818"/>
      <c r="AO165" s="810">
        <v>5926.2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0.25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149291.25</v>
      </c>
      <c r="F166" s="849"/>
      <c r="G166" s="850"/>
      <c r="H166" s="823">
        <v>7962.2</v>
      </c>
      <c r="I166" s="849"/>
      <c r="J166" s="850"/>
      <c r="K166" s="823">
        <v>9952.75</v>
      </c>
      <c r="L166" s="849"/>
      <c r="M166" s="850"/>
      <c r="N166" s="823">
        <v>11943.3</v>
      </c>
      <c r="O166" s="849"/>
      <c r="P166" s="850"/>
      <c r="Q166" s="823">
        <v>17914.949999999997</v>
      </c>
      <c r="R166" s="849"/>
      <c r="S166" s="850"/>
      <c r="T166" s="823">
        <v>15924.4</v>
      </c>
      <c r="U166" s="849"/>
      <c r="V166" s="850"/>
      <c r="W166" s="823">
        <v>11943.3</v>
      </c>
      <c r="X166" s="849"/>
      <c r="Y166" s="850"/>
      <c r="Z166" s="823">
        <v>13933.85</v>
      </c>
      <c r="AA166" s="849"/>
      <c r="AB166" s="850"/>
      <c r="AC166" s="823">
        <v>15924.4</v>
      </c>
      <c r="AD166" s="849"/>
      <c r="AE166" s="850"/>
      <c r="AF166" s="823">
        <v>11943.3</v>
      </c>
      <c r="AG166" s="849"/>
      <c r="AH166" s="850"/>
      <c r="AI166" s="823">
        <v>11943.3</v>
      </c>
      <c r="AJ166" s="849"/>
      <c r="AK166" s="850"/>
      <c r="AL166" s="823">
        <v>11943.3</v>
      </c>
      <c r="AM166" s="849"/>
      <c r="AN166" s="850"/>
      <c r="AO166" s="823">
        <v>7962.2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25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218147.20759391948</v>
      </c>
      <c r="F168" s="851"/>
      <c r="G168" s="852"/>
      <c r="H168" s="832">
        <v>-2982.9697113312259</v>
      </c>
      <c r="I168" s="851"/>
      <c r="J168" s="852"/>
      <c r="K168" s="832">
        <v>7857.8560839652055</v>
      </c>
      <c r="L168" s="851"/>
      <c r="M168" s="852"/>
      <c r="N168" s="832">
        <v>16404.996338323905</v>
      </c>
      <c r="O168" s="851"/>
      <c r="P168" s="852"/>
      <c r="Q168" s="832">
        <v>41085.570422177145</v>
      </c>
      <c r="R168" s="851"/>
      <c r="S168" s="852"/>
      <c r="T168" s="832">
        <v>32896.022977039109</v>
      </c>
      <c r="U168" s="851"/>
      <c r="V168" s="852"/>
      <c r="W168" s="832">
        <v>16719.351006254332</v>
      </c>
      <c r="X168" s="851"/>
      <c r="Y168" s="852"/>
      <c r="Z168" s="832">
        <v>23970.101822113305</v>
      </c>
      <c r="AA168" s="851"/>
      <c r="AB168" s="852"/>
      <c r="AC168" s="832">
        <v>34531.524921072742</v>
      </c>
      <c r="AD168" s="851"/>
      <c r="AE168" s="852"/>
      <c r="AF168" s="832">
        <v>16716.553751330106</v>
      </c>
      <c r="AG168" s="851"/>
      <c r="AH168" s="852"/>
      <c r="AI168" s="832">
        <v>15924.264369281093</v>
      </c>
      <c r="AJ168" s="851"/>
      <c r="AK168" s="852"/>
      <c r="AL168" s="832">
        <v>18277.478190709586</v>
      </c>
      <c r="AM168" s="851"/>
      <c r="AN168" s="852"/>
      <c r="AO168" s="832">
        <v>-3253.5425770157572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25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25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25">
      <c r="A171" s="540"/>
      <c r="B171" s="618" t="s">
        <v>2934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" thickTop="1">
      <c r="A173" s="540"/>
      <c r="B173" s="658" t="s">
        <v>293</v>
      </c>
      <c r="C173" s="768">
        <v>2025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25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25">
      <c r="A175" s="540" t="str">
        <f t="shared" ref="A175:A236" si="4">+$C$171&amp;B175</f>
        <v>ServiceM/O Client</v>
      </c>
      <c r="B175" s="550" t="s">
        <v>151</v>
      </c>
      <c r="C175" s="854">
        <v>2350.0000000000005</v>
      </c>
      <c r="D175" s="855">
        <v>799000</v>
      </c>
      <c r="E175" s="807">
        <v>626416</v>
      </c>
      <c r="F175" s="854">
        <v>97.469421228948804</v>
      </c>
      <c r="G175" s="855">
        <v>33139.603217842588</v>
      </c>
      <c r="H175" s="807">
        <v>25981.44892278859</v>
      </c>
      <c r="I175" s="854">
        <v>96.829691620410145</v>
      </c>
      <c r="J175" s="855">
        <v>32922.095150939451</v>
      </c>
      <c r="K175" s="807">
        <v>25810.922598336532</v>
      </c>
      <c r="L175" s="854">
        <v>132.32200499600097</v>
      </c>
      <c r="M175" s="855">
        <v>44989.481698640331</v>
      </c>
      <c r="N175" s="807">
        <v>35271.75365173402</v>
      </c>
      <c r="O175" s="854">
        <v>273.712365474585</v>
      </c>
      <c r="P175" s="855">
        <v>93062.2042613589</v>
      </c>
      <c r="Q175" s="807">
        <v>72960.768140905377</v>
      </c>
      <c r="R175" s="854">
        <v>321.14307481427102</v>
      </c>
      <c r="S175" s="855">
        <v>109188.64543685214</v>
      </c>
      <c r="T175" s="807">
        <v>85603.898022492082</v>
      </c>
      <c r="U175" s="854">
        <v>191.01536724403653</v>
      </c>
      <c r="V175" s="855">
        <v>64945.22486297242</v>
      </c>
      <c r="W175" s="807">
        <v>50917.056292570378</v>
      </c>
      <c r="X175" s="854">
        <v>190.24167013973516</v>
      </c>
      <c r="Y175" s="855">
        <v>64682.167847509954</v>
      </c>
      <c r="Z175" s="807">
        <v>50710.819592447806</v>
      </c>
      <c r="AA175" s="854">
        <v>170.0969323774604</v>
      </c>
      <c r="AB175" s="855">
        <v>57832.957008336547</v>
      </c>
      <c r="AC175" s="807">
        <v>45341.038294535858</v>
      </c>
      <c r="AD175" s="854">
        <v>160.4918208547264</v>
      </c>
      <c r="AE175" s="855">
        <v>54567.219090606974</v>
      </c>
      <c r="AF175" s="807">
        <v>42780.699767035869</v>
      </c>
      <c r="AG175" s="854">
        <v>278.08363697684797</v>
      </c>
      <c r="AH175" s="855">
        <v>94548.43657212831</v>
      </c>
      <c r="AI175" s="807">
        <v>74125.974272548599</v>
      </c>
      <c r="AJ175" s="854">
        <v>319.79118326427306</v>
      </c>
      <c r="AK175" s="855">
        <v>108729.00230985283</v>
      </c>
      <c r="AL175" s="807">
        <v>85243.537810924623</v>
      </c>
      <c r="AM175" s="854">
        <v>118.80283100870454</v>
      </c>
      <c r="AN175" s="855">
        <v>40392.962542959547</v>
      </c>
      <c r="AO175" s="807">
        <v>31668.082633680286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25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0.78400000000000003</v>
      </c>
      <c r="F176" s="856"/>
      <c r="G176" s="793"/>
      <c r="H176" s="857">
        <v>0.78400000000000003</v>
      </c>
      <c r="I176" s="856"/>
      <c r="J176" s="793"/>
      <c r="K176" s="857">
        <v>0.78400000000000003</v>
      </c>
      <c r="L176" s="856"/>
      <c r="M176" s="793"/>
      <c r="N176" s="857">
        <v>0.78400000000000003</v>
      </c>
      <c r="O176" s="856"/>
      <c r="P176" s="793"/>
      <c r="Q176" s="857">
        <v>0.78400000000000003</v>
      </c>
      <c r="R176" s="856"/>
      <c r="S176" s="793"/>
      <c r="T176" s="857">
        <v>0.78400000000000003</v>
      </c>
      <c r="U176" s="856"/>
      <c r="V176" s="793"/>
      <c r="W176" s="857">
        <v>0.78400000000000003</v>
      </c>
      <c r="X176" s="856"/>
      <c r="Y176" s="793"/>
      <c r="Z176" s="857">
        <v>0.78400000000000003</v>
      </c>
      <c r="AA176" s="856"/>
      <c r="AB176" s="793"/>
      <c r="AC176" s="857">
        <v>0.78400000000000014</v>
      </c>
      <c r="AD176" s="856"/>
      <c r="AE176" s="793"/>
      <c r="AF176" s="857">
        <v>0.78400000000000003</v>
      </c>
      <c r="AG176" s="856"/>
      <c r="AH176" s="793"/>
      <c r="AI176" s="857">
        <v>0.78400000000000003</v>
      </c>
      <c r="AJ176" s="856"/>
      <c r="AK176" s="793"/>
      <c r="AL176" s="857">
        <v>0.78400000000000003</v>
      </c>
      <c r="AM176" s="856"/>
      <c r="AN176" s="793"/>
      <c r="AO176" s="857">
        <v>0.78400000000000003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25">
      <c r="A177" s="540" t="str">
        <f t="shared" si="4"/>
        <v>Service</v>
      </c>
      <c r="B177" s="610"/>
      <c r="C177" s="858"/>
      <c r="D177" s="859">
        <v>339.99999999999994</v>
      </c>
      <c r="E177" s="860"/>
      <c r="F177" s="858"/>
      <c r="G177" s="859">
        <v>339.99999999999994</v>
      </c>
      <c r="H177" s="860"/>
      <c r="I177" s="858"/>
      <c r="J177" s="859">
        <v>340</v>
      </c>
      <c r="K177" s="860"/>
      <c r="L177" s="858"/>
      <c r="M177" s="859">
        <v>340</v>
      </c>
      <c r="N177" s="860"/>
      <c r="O177" s="858"/>
      <c r="P177" s="859">
        <v>340</v>
      </c>
      <c r="Q177" s="860"/>
      <c r="R177" s="858"/>
      <c r="S177" s="859">
        <v>340</v>
      </c>
      <c r="T177" s="860"/>
      <c r="U177" s="858"/>
      <c r="V177" s="859">
        <v>340</v>
      </c>
      <c r="W177" s="860"/>
      <c r="X177" s="858"/>
      <c r="Y177" s="859">
        <v>340</v>
      </c>
      <c r="Z177" s="860"/>
      <c r="AA177" s="858"/>
      <c r="AB177" s="859">
        <v>340.00000000000006</v>
      </c>
      <c r="AC177" s="860"/>
      <c r="AD177" s="858"/>
      <c r="AE177" s="859">
        <v>340</v>
      </c>
      <c r="AF177" s="860"/>
      <c r="AG177" s="858"/>
      <c r="AH177" s="859">
        <v>340</v>
      </c>
      <c r="AI177" s="860"/>
      <c r="AJ177" s="858"/>
      <c r="AK177" s="859">
        <v>340</v>
      </c>
      <c r="AL177" s="860"/>
      <c r="AM177" s="858"/>
      <c r="AN177" s="859">
        <v>340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25">
      <c r="A178" s="540" t="str">
        <f t="shared" si="4"/>
        <v>ServiceM/O Garantie</v>
      </c>
      <c r="B178" s="603" t="s">
        <v>153</v>
      </c>
      <c r="C178" s="861">
        <v>1949.9999999999998</v>
      </c>
      <c r="D178" s="862">
        <v>284700</v>
      </c>
      <c r="E178" s="817">
        <v>182208</v>
      </c>
      <c r="F178" s="861">
        <v>146.98579743676285</v>
      </c>
      <c r="G178" s="862">
        <v>21459.926425767379</v>
      </c>
      <c r="H178" s="817">
        <v>13734.352912491122</v>
      </c>
      <c r="I178" s="861">
        <v>127.69757469238735</v>
      </c>
      <c r="J178" s="862">
        <v>18643.845905088554</v>
      </c>
      <c r="K178" s="817">
        <v>11932.061379256675</v>
      </c>
      <c r="L178" s="861">
        <v>143.88841096047344</v>
      </c>
      <c r="M178" s="862">
        <v>21007.708000229122</v>
      </c>
      <c r="N178" s="817">
        <v>13444.933120146639</v>
      </c>
      <c r="O178" s="861">
        <v>139.72368088944927</v>
      </c>
      <c r="P178" s="862">
        <v>20399.657409859592</v>
      </c>
      <c r="Q178" s="817">
        <v>13055.780742310139</v>
      </c>
      <c r="R178" s="861">
        <v>175.25955166797965</v>
      </c>
      <c r="S178" s="862">
        <v>25587.894543525032</v>
      </c>
      <c r="T178" s="817">
        <v>16376.252507856021</v>
      </c>
      <c r="U178" s="861">
        <v>193.47905926431406</v>
      </c>
      <c r="V178" s="862">
        <v>28247.942652589849</v>
      </c>
      <c r="W178" s="817">
        <v>18078.683297657502</v>
      </c>
      <c r="X178" s="861">
        <v>200.7400065795326</v>
      </c>
      <c r="Y178" s="862">
        <v>29308.040960611757</v>
      </c>
      <c r="Z178" s="817">
        <v>18757.146214791526</v>
      </c>
      <c r="AA178" s="861">
        <v>187.43857397233415</v>
      </c>
      <c r="AB178" s="862">
        <v>27366.031799960787</v>
      </c>
      <c r="AC178" s="817">
        <v>17514.260351974903</v>
      </c>
      <c r="AD178" s="861">
        <v>193.39490175074755</v>
      </c>
      <c r="AE178" s="862">
        <v>28235.655655609145</v>
      </c>
      <c r="AF178" s="817">
        <v>18070.819619589853</v>
      </c>
      <c r="AG178" s="861">
        <v>153.48585268768451</v>
      </c>
      <c r="AH178" s="862">
        <v>22408.934492401939</v>
      </c>
      <c r="AI178" s="817">
        <v>14341.718075137242</v>
      </c>
      <c r="AJ178" s="861">
        <v>165.11897702335153</v>
      </c>
      <c r="AK178" s="862">
        <v>24107.370645409326</v>
      </c>
      <c r="AL178" s="817">
        <v>15428.717213061969</v>
      </c>
      <c r="AM178" s="861">
        <v>122.78761307498306</v>
      </c>
      <c r="AN178" s="862">
        <v>17926.991508947525</v>
      </c>
      <c r="AO178" s="817">
        <v>11473.274565726417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25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0.64</v>
      </c>
      <c r="F179" s="785"/>
      <c r="G179" s="793"/>
      <c r="H179" s="857">
        <v>0.64</v>
      </c>
      <c r="I179" s="785"/>
      <c r="J179" s="793"/>
      <c r="K179" s="857">
        <v>0.64</v>
      </c>
      <c r="L179" s="785"/>
      <c r="M179" s="793"/>
      <c r="N179" s="857">
        <v>0.64</v>
      </c>
      <c r="O179" s="785"/>
      <c r="P179" s="793"/>
      <c r="Q179" s="857">
        <v>0.64</v>
      </c>
      <c r="R179" s="785"/>
      <c r="S179" s="793"/>
      <c r="T179" s="857">
        <v>0.64</v>
      </c>
      <c r="U179" s="785"/>
      <c r="V179" s="793"/>
      <c r="W179" s="857">
        <v>0.64</v>
      </c>
      <c r="X179" s="785"/>
      <c r="Y179" s="793"/>
      <c r="Z179" s="857">
        <v>0.64</v>
      </c>
      <c r="AA179" s="785"/>
      <c r="AB179" s="793"/>
      <c r="AC179" s="857">
        <v>0.64</v>
      </c>
      <c r="AD179" s="785"/>
      <c r="AE179" s="793"/>
      <c r="AF179" s="857">
        <v>0.64</v>
      </c>
      <c r="AG179" s="785"/>
      <c r="AH179" s="793"/>
      <c r="AI179" s="857">
        <v>0.64</v>
      </c>
      <c r="AJ179" s="785"/>
      <c r="AK179" s="793"/>
      <c r="AL179" s="857">
        <v>0.64</v>
      </c>
      <c r="AM179" s="785"/>
      <c r="AN179" s="793"/>
      <c r="AO179" s="857">
        <v>0.64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25">
      <c r="A180" s="540" t="str">
        <f t="shared" si="4"/>
        <v>Service</v>
      </c>
      <c r="B180" s="610"/>
      <c r="C180" s="811"/>
      <c r="D180" s="859">
        <v>146.00000000000003</v>
      </c>
      <c r="E180" s="860"/>
      <c r="F180" s="811"/>
      <c r="G180" s="859">
        <v>146.00000000000003</v>
      </c>
      <c r="H180" s="860"/>
      <c r="I180" s="811"/>
      <c r="J180" s="859">
        <v>146</v>
      </c>
      <c r="K180" s="860"/>
      <c r="L180" s="811"/>
      <c r="M180" s="859">
        <v>146</v>
      </c>
      <c r="N180" s="860"/>
      <c r="O180" s="811"/>
      <c r="P180" s="859">
        <v>146</v>
      </c>
      <c r="Q180" s="860"/>
      <c r="R180" s="811"/>
      <c r="S180" s="859">
        <v>146.00000000000003</v>
      </c>
      <c r="T180" s="860"/>
      <c r="U180" s="811"/>
      <c r="V180" s="859">
        <v>145.99999999999997</v>
      </c>
      <c r="W180" s="860"/>
      <c r="X180" s="811"/>
      <c r="Y180" s="859">
        <v>145.99999999999997</v>
      </c>
      <c r="Z180" s="860"/>
      <c r="AA180" s="811"/>
      <c r="AB180" s="859">
        <v>146</v>
      </c>
      <c r="AC180" s="860"/>
      <c r="AD180" s="811"/>
      <c r="AE180" s="859">
        <v>146.00000000000003</v>
      </c>
      <c r="AF180" s="860"/>
      <c r="AG180" s="811"/>
      <c r="AH180" s="859">
        <v>146</v>
      </c>
      <c r="AI180" s="860"/>
      <c r="AJ180" s="811"/>
      <c r="AK180" s="859">
        <v>146.00000000000003</v>
      </c>
      <c r="AL180" s="860"/>
      <c r="AM180" s="811"/>
      <c r="AN180" s="859">
        <v>146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25">
      <c r="A181" s="540" t="str">
        <f t="shared" si="4"/>
        <v>ServiceM/O Interne</v>
      </c>
      <c r="B181" s="550" t="s">
        <v>154</v>
      </c>
      <c r="C181" s="854">
        <v>2100</v>
      </c>
      <c r="D181" s="855">
        <v>504000.00000000006</v>
      </c>
      <c r="E181" s="807">
        <v>340200.00000000006</v>
      </c>
      <c r="F181" s="854">
        <v>109.20383677762545</v>
      </c>
      <c r="G181" s="855">
        <v>26208.920826630114</v>
      </c>
      <c r="H181" s="807">
        <v>17691.021557975328</v>
      </c>
      <c r="I181" s="854">
        <v>129.20692628917422</v>
      </c>
      <c r="J181" s="855">
        <v>31009.662309401814</v>
      </c>
      <c r="K181" s="807">
        <v>20931.522058846225</v>
      </c>
      <c r="L181" s="854">
        <v>175.63035070484457</v>
      </c>
      <c r="M181" s="855">
        <v>42151.284169162704</v>
      </c>
      <c r="N181" s="807">
        <v>28452.116814184828</v>
      </c>
      <c r="O181" s="854">
        <v>187.4791556782491</v>
      </c>
      <c r="P181" s="855">
        <v>44994.997362779788</v>
      </c>
      <c r="Q181" s="807">
        <v>30371.623219876357</v>
      </c>
      <c r="R181" s="854">
        <v>243.89259071980393</v>
      </c>
      <c r="S181" s="855">
        <v>58534.22177275295</v>
      </c>
      <c r="T181" s="807">
        <v>39510.599696608246</v>
      </c>
      <c r="U181" s="854">
        <v>175.35485044255384</v>
      </c>
      <c r="V181" s="855">
        <v>42085.164106212927</v>
      </c>
      <c r="W181" s="807">
        <v>28407.485771693729</v>
      </c>
      <c r="X181" s="854">
        <v>170.44673785564331</v>
      </c>
      <c r="Y181" s="855">
        <v>40907.217085354401</v>
      </c>
      <c r="Z181" s="807">
        <v>27612.371532614223</v>
      </c>
      <c r="AA181" s="854">
        <v>194.44875962607699</v>
      </c>
      <c r="AB181" s="855">
        <v>46667.702310258486</v>
      </c>
      <c r="AC181" s="807">
        <v>31500.699059424482</v>
      </c>
      <c r="AD181" s="854">
        <v>197.87458321668251</v>
      </c>
      <c r="AE181" s="855">
        <v>47489.899972003805</v>
      </c>
      <c r="AF181" s="807">
        <v>32055.682481102569</v>
      </c>
      <c r="AG181" s="854">
        <v>180.95150336252576</v>
      </c>
      <c r="AH181" s="855">
        <v>43428.360807006189</v>
      </c>
      <c r="AI181" s="807">
        <v>29314.143544729181</v>
      </c>
      <c r="AJ181" s="854">
        <v>216.34458887598535</v>
      </c>
      <c r="AK181" s="855">
        <v>51922.701330236487</v>
      </c>
      <c r="AL181" s="807">
        <v>35047.823397909633</v>
      </c>
      <c r="AM181" s="854">
        <v>119.16611645083479</v>
      </c>
      <c r="AN181" s="855">
        <v>28599.867948200354</v>
      </c>
      <c r="AO181" s="807">
        <v>19304.910865035239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25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0.67500000000000004</v>
      </c>
      <c r="F182" s="856"/>
      <c r="G182" s="863"/>
      <c r="H182" s="857">
        <v>0.67500000000000004</v>
      </c>
      <c r="I182" s="856"/>
      <c r="J182" s="863"/>
      <c r="K182" s="857">
        <v>0.67500000000000004</v>
      </c>
      <c r="L182" s="856"/>
      <c r="M182" s="863"/>
      <c r="N182" s="857">
        <v>0.67500000000000004</v>
      </c>
      <c r="O182" s="856"/>
      <c r="P182" s="863"/>
      <c r="Q182" s="857">
        <v>0.67500000000000004</v>
      </c>
      <c r="R182" s="856"/>
      <c r="S182" s="863"/>
      <c r="T182" s="857">
        <v>0.67500000000000004</v>
      </c>
      <c r="U182" s="856"/>
      <c r="V182" s="863"/>
      <c r="W182" s="857">
        <v>0.67500000000000004</v>
      </c>
      <c r="X182" s="856"/>
      <c r="Y182" s="863"/>
      <c r="Z182" s="857">
        <v>0.67500000000000004</v>
      </c>
      <c r="AA182" s="856"/>
      <c r="AB182" s="863"/>
      <c r="AC182" s="857">
        <v>0.67500000000000004</v>
      </c>
      <c r="AD182" s="856"/>
      <c r="AE182" s="863"/>
      <c r="AF182" s="857">
        <v>0.67500000000000004</v>
      </c>
      <c r="AG182" s="856"/>
      <c r="AH182" s="863"/>
      <c r="AI182" s="857">
        <v>0.67500000000000004</v>
      </c>
      <c r="AJ182" s="856"/>
      <c r="AK182" s="863"/>
      <c r="AL182" s="857">
        <v>0.67500000000000004</v>
      </c>
      <c r="AM182" s="856"/>
      <c r="AN182" s="863"/>
      <c r="AO182" s="857">
        <v>0.67500000000000004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25">
      <c r="A183" s="540" t="str">
        <f t="shared" si="4"/>
        <v>Service</v>
      </c>
      <c r="B183" s="550"/>
      <c r="C183" s="856"/>
      <c r="D183" s="864">
        <v>240.00000000000003</v>
      </c>
      <c r="E183" s="857"/>
      <c r="F183" s="856"/>
      <c r="G183" s="864">
        <v>240.00000000000006</v>
      </c>
      <c r="H183" s="857"/>
      <c r="I183" s="856"/>
      <c r="J183" s="864">
        <v>240</v>
      </c>
      <c r="K183" s="857"/>
      <c r="L183" s="856"/>
      <c r="M183" s="864">
        <v>240.00000000000003</v>
      </c>
      <c r="N183" s="857"/>
      <c r="O183" s="856"/>
      <c r="P183" s="864">
        <v>240.00000000000003</v>
      </c>
      <c r="Q183" s="857"/>
      <c r="R183" s="856"/>
      <c r="S183" s="864">
        <v>240.00000000000003</v>
      </c>
      <c r="T183" s="857"/>
      <c r="U183" s="856"/>
      <c r="V183" s="864">
        <v>240.00000000000003</v>
      </c>
      <c r="W183" s="857"/>
      <c r="X183" s="856"/>
      <c r="Y183" s="864">
        <v>240.00000000000006</v>
      </c>
      <c r="Z183" s="857"/>
      <c r="AA183" s="856"/>
      <c r="AB183" s="864">
        <v>240.00000000000003</v>
      </c>
      <c r="AC183" s="857"/>
      <c r="AD183" s="856"/>
      <c r="AE183" s="864">
        <v>240</v>
      </c>
      <c r="AF183" s="857"/>
      <c r="AG183" s="856"/>
      <c r="AH183" s="864">
        <v>240.00000000000006</v>
      </c>
      <c r="AI183" s="857"/>
      <c r="AJ183" s="856"/>
      <c r="AK183" s="864">
        <v>240</v>
      </c>
      <c r="AL183" s="857"/>
      <c r="AM183" s="856"/>
      <c r="AN183" s="864">
        <v>240.00000000000003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25">
      <c r="A184" s="540" t="str">
        <f t="shared" si="4"/>
        <v>ServiceM/O Esthétique</v>
      </c>
      <c r="B184" s="603" t="s">
        <v>155</v>
      </c>
      <c r="C184" s="861">
        <v>700.00000000000011</v>
      </c>
      <c r="D184" s="862">
        <v>140000</v>
      </c>
      <c r="E184" s="817">
        <v>56000.000000000015</v>
      </c>
      <c r="F184" s="861">
        <v>22.541590062568829</v>
      </c>
      <c r="G184" s="862">
        <v>4508.318012513766</v>
      </c>
      <c r="H184" s="817">
        <v>1803.3272050055066</v>
      </c>
      <c r="I184" s="861">
        <v>23.696980083552372</v>
      </c>
      <c r="J184" s="862">
        <v>4739.3960167104742</v>
      </c>
      <c r="K184" s="817">
        <v>1895.7584066841898</v>
      </c>
      <c r="L184" s="861">
        <v>44.437402977160907</v>
      </c>
      <c r="M184" s="862">
        <v>8887.4805954321819</v>
      </c>
      <c r="N184" s="817">
        <v>3554.9922381728729</v>
      </c>
      <c r="O184" s="861">
        <v>123.16699884474895</v>
      </c>
      <c r="P184" s="862">
        <v>24633.399768949788</v>
      </c>
      <c r="Q184" s="817">
        <v>9853.3599075799157</v>
      </c>
      <c r="R184" s="861">
        <v>102.48187772818552</v>
      </c>
      <c r="S184" s="862">
        <v>20496.375545637104</v>
      </c>
      <c r="T184" s="817">
        <v>8198.5502182548425</v>
      </c>
      <c r="U184" s="861">
        <v>59.560397210779449</v>
      </c>
      <c r="V184" s="862">
        <v>11912.079442155889</v>
      </c>
      <c r="W184" s="817">
        <v>4764.8317768623556</v>
      </c>
      <c r="X184" s="861">
        <v>53.632432599858817</v>
      </c>
      <c r="Y184" s="862">
        <v>10726.486519971762</v>
      </c>
      <c r="Z184" s="817">
        <v>4290.5946079887053</v>
      </c>
      <c r="AA184" s="861">
        <v>38.49669303839535</v>
      </c>
      <c r="AB184" s="862">
        <v>7699.3386076790694</v>
      </c>
      <c r="AC184" s="817">
        <v>3079.7354430716277</v>
      </c>
      <c r="AD184" s="861">
        <v>45.192806264645341</v>
      </c>
      <c r="AE184" s="862">
        <v>9038.5612529290684</v>
      </c>
      <c r="AF184" s="817">
        <v>3615.4245011716275</v>
      </c>
      <c r="AG184" s="861">
        <v>84.918069835115787</v>
      </c>
      <c r="AH184" s="862">
        <v>16983.613967023157</v>
      </c>
      <c r="AI184" s="817">
        <v>6793.4455868092627</v>
      </c>
      <c r="AJ184" s="861">
        <v>67.699534983785327</v>
      </c>
      <c r="AK184" s="862">
        <v>13539.906996757065</v>
      </c>
      <c r="AL184" s="817">
        <v>5415.9627987028261</v>
      </c>
      <c r="AM184" s="861">
        <v>34.175216371203391</v>
      </c>
      <c r="AN184" s="862">
        <v>6835.0432742406792</v>
      </c>
      <c r="AO184" s="817">
        <v>2734.0173096962717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0.25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0.40000000000000008</v>
      </c>
      <c r="F185" s="865"/>
      <c r="G185" s="866">
        <v>0</v>
      </c>
      <c r="H185" s="857">
        <v>0.4</v>
      </c>
      <c r="I185" s="865"/>
      <c r="J185" s="866">
        <v>0</v>
      </c>
      <c r="K185" s="857">
        <v>0.4</v>
      </c>
      <c r="L185" s="865"/>
      <c r="M185" s="866">
        <v>0</v>
      </c>
      <c r="N185" s="857">
        <v>0.4</v>
      </c>
      <c r="O185" s="865"/>
      <c r="P185" s="866">
        <v>0</v>
      </c>
      <c r="Q185" s="857">
        <v>0.4</v>
      </c>
      <c r="R185" s="865"/>
      <c r="S185" s="866">
        <v>0</v>
      </c>
      <c r="T185" s="857">
        <v>0.40000000000000008</v>
      </c>
      <c r="U185" s="865"/>
      <c r="V185" s="866">
        <v>0</v>
      </c>
      <c r="W185" s="857">
        <v>0.39999999999999997</v>
      </c>
      <c r="X185" s="865"/>
      <c r="Y185" s="866">
        <v>0</v>
      </c>
      <c r="Z185" s="857">
        <v>0.4</v>
      </c>
      <c r="AA185" s="865"/>
      <c r="AB185" s="866">
        <v>0</v>
      </c>
      <c r="AC185" s="857">
        <v>0.4</v>
      </c>
      <c r="AD185" s="865"/>
      <c r="AE185" s="866">
        <v>0</v>
      </c>
      <c r="AF185" s="857">
        <v>0.4</v>
      </c>
      <c r="AG185" s="865"/>
      <c r="AH185" s="866">
        <v>0</v>
      </c>
      <c r="AI185" s="857">
        <v>0.4</v>
      </c>
      <c r="AJ185" s="865"/>
      <c r="AK185" s="866">
        <v>0</v>
      </c>
      <c r="AL185" s="857">
        <v>0.4</v>
      </c>
      <c r="AM185" s="865"/>
      <c r="AN185" s="866">
        <v>0</v>
      </c>
      <c r="AO185" s="857">
        <v>0.4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0.25">
      <c r="A186" s="540" t="str">
        <f t="shared" si="4"/>
        <v>Service</v>
      </c>
      <c r="B186" s="610"/>
      <c r="C186" s="867"/>
      <c r="D186" s="868">
        <v>199.99999999999997</v>
      </c>
      <c r="E186" s="860"/>
      <c r="F186" s="867"/>
      <c r="G186" s="868">
        <v>200</v>
      </c>
      <c r="H186" s="860"/>
      <c r="I186" s="867"/>
      <c r="J186" s="868">
        <v>200</v>
      </c>
      <c r="K186" s="860"/>
      <c r="L186" s="867"/>
      <c r="M186" s="868">
        <v>200</v>
      </c>
      <c r="N186" s="860"/>
      <c r="O186" s="867"/>
      <c r="P186" s="868">
        <v>200</v>
      </c>
      <c r="Q186" s="860"/>
      <c r="R186" s="867"/>
      <c r="S186" s="868">
        <v>200</v>
      </c>
      <c r="T186" s="860"/>
      <c r="U186" s="867"/>
      <c r="V186" s="868">
        <v>200</v>
      </c>
      <c r="W186" s="860"/>
      <c r="X186" s="867"/>
      <c r="Y186" s="868">
        <v>199.99999999999997</v>
      </c>
      <c r="Z186" s="860"/>
      <c r="AA186" s="867"/>
      <c r="AB186" s="868">
        <v>199.99999999999997</v>
      </c>
      <c r="AC186" s="860"/>
      <c r="AD186" s="867"/>
      <c r="AE186" s="868">
        <v>200</v>
      </c>
      <c r="AF186" s="860"/>
      <c r="AG186" s="867"/>
      <c r="AH186" s="868">
        <v>200</v>
      </c>
      <c r="AI186" s="860"/>
      <c r="AJ186" s="867"/>
      <c r="AK186" s="868">
        <v>200</v>
      </c>
      <c r="AL186" s="860"/>
      <c r="AM186" s="867"/>
      <c r="AN186" s="868">
        <v>200.00000000000003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-33326.424536349179</v>
      </c>
      <c r="F187" s="854"/>
      <c r="G187" s="855"/>
      <c r="H187" s="807">
        <v>-1663.9513590734141</v>
      </c>
      <c r="I187" s="854"/>
      <c r="J187" s="855"/>
      <c r="K187" s="807">
        <v>-1704.622875576237</v>
      </c>
      <c r="L187" s="854"/>
      <c r="M187" s="855"/>
      <c r="N187" s="807">
        <v>-2314.4195079561969</v>
      </c>
      <c r="O187" s="854"/>
      <c r="P187" s="855"/>
      <c r="Q187" s="807">
        <v>-3623.3539183866296</v>
      </c>
      <c r="R187" s="854"/>
      <c r="S187" s="855"/>
      <c r="T187" s="807">
        <v>-4086.663475344028</v>
      </c>
      <c r="U187" s="854"/>
      <c r="V187" s="855"/>
      <c r="W187" s="807">
        <v>-2869.5791746708996</v>
      </c>
      <c r="X187" s="854"/>
      <c r="Y187" s="855"/>
      <c r="Z187" s="807">
        <v>-2820.5417995768412</v>
      </c>
      <c r="AA187" s="854"/>
      <c r="AB187" s="855"/>
      <c r="AC187" s="807">
        <v>-2685.248796225108</v>
      </c>
      <c r="AD187" s="854"/>
      <c r="AE187" s="855"/>
      <c r="AF187" s="807">
        <v>-2728.4886475145922</v>
      </c>
      <c r="AG187" s="854"/>
      <c r="AH187" s="855"/>
      <c r="AI187" s="807">
        <v>-3364.9228532932289</v>
      </c>
      <c r="AJ187" s="854"/>
      <c r="AK187" s="855"/>
      <c r="AL187" s="807">
        <v>-3643.3808555769469</v>
      </c>
      <c r="AM187" s="854"/>
      <c r="AN187" s="855"/>
      <c r="AO187" s="807">
        <v>-1821.2512731550603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" thickTop="1">
      <c r="A188" s="540" t="str">
        <f t="shared" si="4"/>
        <v>ServiceSous-total M/O</v>
      </c>
      <c r="B188" s="622" t="s">
        <v>157</v>
      </c>
      <c r="C188" s="869">
        <v>7100</v>
      </c>
      <c r="D188" s="870">
        <v>1727700</v>
      </c>
      <c r="E188" s="871">
        <v>1171497.5754636507</v>
      </c>
      <c r="F188" s="869">
        <v>376.20064550590592</v>
      </c>
      <c r="G188" s="870">
        <v>85316.768482753861</v>
      </c>
      <c r="H188" s="871">
        <v>57546.199239187132</v>
      </c>
      <c r="I188" s="869">
        <v>377.43117268552407</v>
      </c>
      <c r="J188" s="870">
        <v>87314.99938214029</v>
      </c>
      <c r="K188" s="871">
        <v>58865.641567547384</v>
      </c>
      <c r="L188" s="869">
        <v>496.27816963847988</v>
      </c>
      <c r="M188" s="870">
        <v>117035.95446346434</v>
      </c>
      <c r="N188" s="871">
        <v>78409.376316282171</v>
      </c>
      <c r="O188" s="869">
        <v>724.08220088703229</v>
      </c>
      <c r="P188" s="870">
        <v>183090.25880294805</v>
      </c>
      <c r="Q188" s="871">
        <v>122618.17809228516</v>
      </c>
      <c r="R188" s="869">
        <v>842.77709493024008</v>
      </c>
      <c r="S188" s="870">
        <v>213807.13729876722</v>
      </c>
      <c r="T188" s="871">
        <v>145602.63696986716</v>
      </c>
      <c r="U188" s="869">
        <v>619.40967416168382</v>
      </c>
      <c r="V188" s="870">
        <v>147190.4110639311</v>
      </c>
      <c r="W188" s="871">
        <v>99298.477964113059</v>
      </c>
      <c r="X188" s="869">
        <v>615.06084717476983</v>
      </c>
      <c r="Y188" s="870">
        <v>145623.91241344789</v>
      </c>
      <c r="Z188" s="871">
        <v>98550.390148265433</v>
      </c>
      <c r="AA188" s="869">
        <v>590.48095901426689</v>
      </c>
      <c r="AB188" s="870">
        <v>139566.02972623488</v>
      </c>
      <c r="AC188" s="871">
        <v>94750.484352781757</v>
      </c>
      <c r="AD188" s="869">
        <v>596.95411208680184</v>
      </c>
      <c r="AE188" s="870">
        <v>139331.33597114898</v>
      </c>
      <c r="AF188" s="871">
        <v>93794.137721385327</v>
      </c>
      <c r="AG188" s="869">
        <v>697.43906286217407</v>
      </c>
      <c r="AH188" s="870">
        <v>177369.34583855959</v>
      </c>
      <c r="AI188" s="871">
        <v>121210.35862593105</v>
      </c>
      <c r="AJ188" s="869">
        <v>768.95428414739536</v>
      </c>
      <c r="AK188" s="870">
        <v>198298.9812822557</v>
      </c>
      <c r="AL188" s="871">
        <v>137492.66036502211</v>
      </c>
      <c r="AM188" s="869">
        <v>394.93177690572577</v>
      </c>
      <c r="AN188" s="870">
        <v>93754.865274348107</v>
      </c>
      <c r="AO188" s="871">
        <v>63359.034100983154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0.25">
      <c r="A189" s="540" t="str">
        <f t="shared" si="4"/>
        <v>Service% protit / ventes</v>
      </c>
      <c r="B189" s="623" t="s">
        <v>158</v>
      </c>
      <c r="C189" s="872"/>
      <c r="D189" s="873">
        <v>243.33802816901408</v>
      </c>
      <c r="E189" s="874">
        <v>0.6780677058885517</v>
      </c>
      <c r="F189" s="872"/>
      <c r="G189" s="873">
        <v>226.78527935012403</v>
      </c>
      <c r="H189" s="874">
        <v>0.67450045591939711</v>
      </c>
      <c r="I189" s="872"/>
      <c r="J189" s="873">
        <v>231.34019047995065</v>
      </c>
      <c r="K189" s="874">
        <v>0.67417559393109228</v>
      </c>
      <c r="L189" s="872"/>
      <c r="M189" s="873">
        <v>235.8273275423754</v>
      </c>
      <c r="N189" s="874">
        <v>0.66995972883495036</v>
      </c>
      <c r="O189" s="872"/>
      <c r="P189" s="873">
        <v>252.85838897663069</v>
      </c>
      <c r="Q189" s="874">
        <v>0.66971437417789481</v>
      </c>
      <c r="R189" s="872"/>
      <c r="S189" s="873">
        <v>253.69357874689851</v>
      </c>
      <c r="T189" s="874">
        <v>0.68099988994477167</v>
      </c>
      <c r="U189" s="872"/>
      <c r="V189" s="873">
        <v>237.63014561104538</v>
      </c>
      <c r="W189" s="874">
        <v>0.67462599802770762</v>
      </c>
      <c r="X189" s="872"/>
      <c r="Y189" s="873">
        <v>236.76342443574333</v>
      </c>
      <c r="Z189" s="874">
        <v>0.67674593076764933</v>
      </c>
      <c r="AA189" s="872"/>
      <c r="AB189" s="873">
        <v>236.35991575278342</v>
      </c>
      <c r="AC189" s="874">
        <v>0.67889359995866583</v>
      </c>
      <c r="AD189" s="872"/>
      <c r="AE189" s="873">
        <v>233.40376278518556</v>
      </c>
      <c r="AF189" s="874">
        <v>0.67317331788742096</v>
      </c>
      <c r="AG189" s="872"/>
      <c r="AH189" s="873">
        <v>254.31518720885126</v>
      </c>
      <c r="AI189" s="874">
        <v>0.68337828080087704</v>
      </c>
      <c r="AJ189" s="872"/>
      <c r="AK189" s="873">
        <v>257.88136612324951</v>
      </c>
      <c r="AL189" s="874">
        <v>0.69336039689138484</v>
      </c>
      <c r="AM189" s="872"/>
      <c r="AN189" s="873">
        <v>237.39509139759181</v>
      </c>
      <c r="AO189" s="874">
        <v>0.67579462586373706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0.25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25">
      <c r="A191" s="540" t="str">
        <f t="shared" si="4"/>
        <v>ServiceSous-traitement</v>
      </c>
      <c r="B191" s="625" t="s">
        <v>159</v>
      </c>
      <c r="C191" s="854">
        <v>0</v>
      </c>
      <c r="D191" s="876">
        <v>88479.999999999985</v>
      </c>
      <c r="E191" s="807">
        <v>10175.200000000003</v>
      </c>
      <c r="F191" s="854">
        <v>0</v>
      </c>
      <c r="G191" s="876">
        <v>18592.976474536481</v>
      </c>
      <c r="H191" s="807">
        <v>2138.1922945716956</v>
      </c>
      <c r="I191" s="854">
        <v>0</v>
      </c>
      <c r="J191" s="876">
        <v>9379.3146734214915</v>
      </c>
      <c r="K191" s="807">
        <v>1078.6211874434716</v>
      </c>
      <c r="L191" s="854">
        <v>0</v>
      </c>
      <c r="M191" s="876">
        <v>3405.3809748117224</v>
      </c>
      <c r="N191" s="807">
        <v>391.61881210334809</v>
      </c>
      <c r="O191" s="854">
        <v>0</v>
      </c>
      <c r="P191" s="876">
        <v>5200.5727354800792</v>
      </c>
      <c r="Q191" s="807">
        <v>598.06586458020911</v>
      </c>
      <c r="R191" s="854">
        <v>0</v>
      </c>
      <c r="S191" s="876">
        <v>7867.7006065373971</v>
      </c>
      <c r="T191" s="807">
        <v>904.78556975180072</v>
      </c>
      <c r="U191" s="854">
        <v>0</v>
      </c>
      <c r="V191" s="876">
        <v>6925.6374211423772</v>
      </c>
      <c r="W191" s="807">
        <v>796.44830343137346</v>
      </c>
      <c r="X191" s="854">
        <v>0</v>
      </c>
      <c r="Y191" s="876">
        <v>7040.7602222592423</v>
      </c>
      <c r="Z191" s="807">
        <v>809.68742555981294</v>
      </c>
      <c r="AA191" s="854">
        <v>0</v>
      </c>
      <c r="AB191" s="876">
        <v>4051.0023878028755</v>
      </c>
      <c r="AC191" s="807">
        <v>465.86527459733071</v>
      </c>
      <c r="AD191" s="854">
        <v>0</v>
      </c>
      <c r="AE191" s="876">
        <v>3577.070954402187</v>
      </c>
      <c r="AF191" s="807">
        <v>411.36315975625155</v>
      </c>
      <c r="AG191" s="854">
        <v>0</v>
      </c>
      <c r="AH191" s="876">
        <v>5538.1709391603681</v>
      </c>
      <c r="AI191" s="807">
        <v>636.88965800344238</v>
      </c>
      <c r="AJ191" s="854">
        <v>0</v>
      </c>
      <c r="AK191" s="876">
        <v>10165.297149872033</v>
      </c>
      <c r="AL191" s="807">
        <v>1169.0091722352838</v>
      </c>
      <c r="AM191" s="854">
        <v>0</v>
      </c>
      <c r="AN191" s="876">
        <v>6736.1154605737429</v>
      </c>
      <c r="AO191" s="807">
        <v>774.65327796598046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25">
      <c r="A192" s="540" t="str">
        <f t="shared" si="4"/>
        <v>Service% profit / ventes</v>
      </c>
      <c r="B192" s="625" t="s">
        <v>152</v>
      </c>
      <c r="C192" s="856"/>
      <c r="D192" s="863"/>
      <c r="E192" s="857">
        <v>0.11500000000000005</v>
      </c>
      <c r="F192" s="856"/>
      <c r="G192" s="863"/>
      <c r="H192" s="857">
        <v>0.11500000000000002</v>
      </c>
      <c r="I192" s="856"/>
      <c r="J192" s="863"/>
      <c r="K192" s="857">
        <v>0.115</v>
      </c>
      <c r="L192" s="856"/>
      <c r="M192" s="863"/>
      <c r="N192" s="857">
        <v>0.115</v>
      </c>
      <c r="O192" s="856"/>
      <c r="P192" s="863"/>
      <c r="Q192" s="857">
        <v>0.115</v>
      </c>
      <c r="R192" s="856"/>
      <c r="S192" s="863"/>
      <c r="T192" s="857">
        <v>0.115</v>
      </c>
      <c r="U192" s="856"/>
      <c r="V192" s="863"/>
      <c r="W192" s="857">
        <v>0.115</v>
      </c>
      <c r="X192" s="856"/>
      <c r="Y192" s="863"/>
      <c r="Z192" s="857">
        <v>0.115</v>
      </c>
      <c r="AA192" s="856"/>
      <c r="AB192" s="863"/>
      <c r="AC192" s="857">
        <v>0.115</v>
      </c>
      <c r="AD192" s="856"/>
      <c r="AE192" s="863"/>
      <c r="AF192" s="857">
        <v>0.11500000000000002</v>
      </c>
      <c r="AG192" s="856"/>
      <c r="AH192" s="863"/>
      <c r="AI192" s="857">
        <v>0.115</v>
      </c>
      <c r="AJ192" s="856"/>
      <c r="AK192" s="863"/>
      <c r="AL192" s="857">
        <v>0.115</v>
      </c>
      <c r="AM192" s="856"/>
      <c r="AN192" s="863"/>
      <c r="AO192" s="857">
        <v>0.115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25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25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25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" thickTop="1">
      <c r="A197" s="540" t="str">
        <f t="shared" si="4"/>
        <v>ServiceTotal Mécanique</v>
      </c>
      <c r="B197" s="606" t="s">
        <v>161</v>
      </c>
      <c r="C197" s="795"/>
      <c r="D197" s="882">
        <v>1816180</v>
      </c>
      <c r="E197" s="797">
        <v>1181672.7754636507</v>
      </c>
      <c r="F197" s="795"/>
      <c r="G197" s="882">
        <v>103909.74495729034</v>
      </c>
      <c r="H197" s="797">
        <v>59684.391533758826</v>
      </c>
      <c r="I197" s="795"/>
      <c r="J197" s="882">
        <v>96694.314055561787</v>
      </c>
      <c r="K197" s="797">
        <v>59944.262754990858</v>
      </c>
      <c r="L197" s="795"/>
      <c r="M197" s="882">
        <v>120441.33543827606</v>
      </c>
      <c r="N197" s="797">
        <v>78800.995128385519</v>
      </c>
      <c r="O197" s="795"/>
      <c r="P197" s="882">
        <v>188290.83153842814</v>
      </c>
      <c r="Q197" s="797">
        <v>123216.24395686536</v>
      </c>
      <c r="R197" s="795"/>
      <c r="S197" s="882">
        <v>221674.83790530462</v>
      </c>
      <c r="T197" s="797">
        <v>146507.42253961897</v>
      </c>
      <c r="U197" s="795"/>
      <c r="V197" s="882">
        <v>154116.04848507346</v>
      </c>
      <c r="W197" s="797">
        <v>100094.92626754443</v>
      </c>
      <c r="X197" s="795"/>
      <c r="Y197" s="882">
        <v>152664.67263570713</v>
      </c>
      <c r="Z197" s="797">
        <v>99360.077573825241</v>
      </c>
      <c r="AA197" s="795"/>
      <c r="AB197" s="882">
        <v>143617.03211403775</v>
      </c>
      <c r="AC197" s="797">
        <v>95216.349627379095</v>
      </c>
      <c r="AD197" s="795"/>
      <c r="AE197" s="882">
        <v>142908.40692555116</v>
      </c>
      <c r="AF197" s="797">
        <v>94205.500881141576</v>
      </c>
      <c r="AG197" s="795"/>
      <c r="AH197" s="882">
        <v>182907.51677771995</v>
      </c>
      <c r="AI197" s="797">
        <v>121847.2482839345</v>
      </c>
      <c r="AJ197" s="795"/>
      <c r="AK197" s="882">
        <v>208464.27843212773</v>
      </c>
      <c r="AL197" s="797">
        <v>138661.6695372574</v>
      </c>
      <c r="AM197" s="795"/>
      <c r="AN197" s="882">
        <v>100490.98073492185</v>
      </c>
      <c r="AO197" s="797">
        <v>64133.687378949136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" thickBot="1">
      <c r="A198" s="540" t="str">
        <f t="shared" si="4"/>
        <v>Service</v>
      </c>
      <c r="B198" s="607"/>
      <c r="C198" s="798"/>
      <c r="D198" s="799"/>
      <c r="E198" s="883">
        <v>0.65063637715625688</v>
      </c>
      <c r="F198" s="798"/>
      <c r="G198" s="799"/>
      <c r="H198" s="883">
        <v>0.57438685426752512</v>
      </c>
      <c r="I198" s="798"/>
      <c r="J198" s="799"/>
      <c r="K198" s="883">
        <v>0.61993575672449697</v>
      </c>
      <c r="L198" s="798"/>
      <c r="M198" s="799"/>
      <c r="N198" s="883">
        <v>0.65426869306650592</v>
      </c>
      <c r="O198" s="798"/>
      <c r="P198" s="799"/>
      <c r="Q198" s="883">
        <v>0.65439322217724794</v>
      </c>
      <c r="R198" s="798"/>
      <c r="S198" s="799"/>
      <c r="T198" s="883">
        <v>0.66091137778210185</v>
      </c>
      <c r="U198" s="798"/>
      <c r="V198" s="799"/>
      <c r="W198" s="883">
        <v>0.64947763228719746</v>
      </c>
      <c r="X198" s="798"/>
      <c r="Y198" s="799"/>
      <c r="Z198" s="883">
        <v>0.65083870327302995</v>
      </c>
      <c r="AA198" s="798"/>
      <c r="AB198" s="799"/>
      <c r="AC198" s="883">
        <v>0.6629878658944397</v>
      </c>
      <c r="AD198" s="798"/>
      <c r="AE198" s="799"/>
      <c r="AF198" s="883">
        <v>0.6592019525500582</v>
      </c>
      <c r="AG198" s="798"/>
      <c r="AH198" s="799"/>
      <c r="AI198" s="883">
        <v>0.66616862133670807</v>
      </c>
      <c r="AJ198" s="798"/>
      <c r="AK198" s="799"/>
      <c r="AL198" s="883">
        <v>0.66515793775384491</v>
      </c>
      <c r="AM198" s="798"/>
      <c r="AN198" s="799"/>
      <c r="AO198" s="883">
        <v>0.6382034179577063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0.25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25">
      <c r="A201" s="540" t="str">
        <f t="shared" si="4"/>
        <v>ServiceSalaires cadres</v>
      </c>
      <c r="B201" s="626" t="s">
        <v>109</v>
      </c>
      <c r="C201" s="785"/>
      <c r="D201" s="793"/>
      <c r="E201" s="807">
        <v>124254.29230769232</v>
      </c>
      <c r="F201" s="785"/>
      <c r="G201" s="793"/>
      <c r="H201" s="807">
        <v>10609.936678455644</v>
      </c>
      <c r="I201" s="785"/>
      <c r="J201" s="793"/>
      <c r="K201" s="807">
        <v>9996.9471117005596</v>
      </c>
      <c r="L201" s="785"/>
      <c r="M201" s="793"/>
      <c r="N201" s="807">
        <v>10201.276967285588</v>
      </c>
      <c r="O201" s="785"/>
      <c r="P201" s="793"/>
      <c r="Q201" s="807">
        <v>10405.606822870617</v>
      </c>
      <c r="R201" s="785"/>
      <c r="S201" s="793"/>
      <c r="T201" s="807">
        <v>10405.606822870617</v>
      </c>
      <c r="U201" s="785"/>
      <c r="V201" s="793"/>
      <c r="W201" s="807">
        <v>10201.276967285588</v>
      </c>
      <c r="X201" s="785"/>
      <c r="Y201" s="793"/>
      <c r="Z201" s="807">
        <v>10609.936678455644</v>
      </c>
      <c r="AA201" s="785"/>
      <c r="AB201" s="793"/>
      <c r="AC201" s="807">
        <v>10201.276967285588</v>
      </c>
      <c r="AD201" s="785"/>
      <c r="AE201" s="793"/>
      <c r="AF201" s="807">
        <v>10405.606822870617</v>
      </c>
      <c r="AG201" s="785"/>
      <c r="AH201" s="793"/>
      <c r="AI201" s="807">
        <v>10609.936678455644</v>
      </c>
      <c r="AJ201" s="785"/>
      <c r="AK201" s="793"/>
      <c r="AL201" s="807">
        <v>9996.9471117005596</v>
      </c>
      <c r="AM201" s="785"/>
      <c r="AN201" s="793"/>
      <c r="AO201" s="807">
        <v>10609.936678455644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25">
      <c r="A202" s="540" t="str">
        <f t="shared" si="4"/>
        <v>ServiceSalaires commis</v>
      </c>
      <c r="B202" s="629" t="s">
        <v>110</v>
      </c>
      <c r="C202" s="785"/>
      <c r="D202" s="793"/>
      <c r="E202" s="807">
        <v>67125.25</v>
      </c>
      <c r="F202" s="785"/>
      <c r="G202" s="793"/>
      <c r="H202" s="807">
        <v>5720.6015325670505</v>
      </c>
      <c r="I202" s="785"/>
      <c r="J202" s="793"/>
      <c r="K202" s="807">
        <v>5416.2078544061305</v>
      </c>
      <c r="L202" s="785"/>
      <c r="M202" s="793"/>
      <c r="N202" s="807">
        <v>5517.6724137931033</v>
      </c>
      <c r="O202" s="785"/>
      <c r="P202" s="793"/>
      <c r="Q202" s="807">
        <v>5619.1369731800769</v>
      </c>
      <c r="R202" s="785"/>
      <c r="S202" s="793"/>
      <c r="T202" s="807">
        <v>5619.1369731800769</v>
      </c>
      <c r="U202" s="785"/>
      <c r="V202" s="793"/>
      <c r="W202" s="807">
        <v>5517.6724137931033</v>
      </c>
      <c r="X202" s="785"/>
      <c r="Y202" s="793"/>
      <c r="Z202" s="807">
        <v>5720.6015325670505</v>
      </c>
      <c r="AA202" s="785"/>
      <c r="AB202" s="793"/>
      <c r="AC202" s="807">
        <v>5517.6724137931033</v>
      </c>
      <c r="AD202" s="785"/>
      <c r="AE202" s="793"/>
      <c r="AF202" s="807">
        <v>5619.1369731800769</v>
      </c>
      <c r="AG202" s="785"/>
      <c r="AH202" s="793"/>
      <c r="AI202" s="807">
        <v>5720.6015325670505</v>
      </c>
      <c r="AJ202" s="785"/>
      <c r="AK202" s="793"/>
      <c r="AL202" s="807">
        <v>5416.2078544061305</v>
      </c>
      <c r="AM202" s="785"/>
      <c r="AN202" s="793"/>
      <c r="AO202" s="807">
        <v>5720.6015325670505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25">
      <c r="A203" s="540" t="str">
        <f t="shared" si="4"/>
        <v>ServiceSalaires autres</v>
      </c>
      <c r="B203" s="626" t="s">
        <v>111</v>
      </c>
      <c r="C203" s="815"/>
      <c r="D203" s="816"/>
      <c r="E203" s="817">
        <v>69357</v>
      </c>
      <c r="F203" s="815"/>
      <c r="G203" s="816"/>
      <c r="H203" s="817">
        <v>4802.7624521072794</v>
      </c>
      <c r="I203" s="815"/>
      <c r="J203" s="816"/>
      <c r="K203" s="817">
        <v>4331.5325670498078</v>
      </c>
      <c r="L203" s="815"/>
      <c r="M203" s="816"/>
      <c r="N203" s="817">
        <v>7926.7487302860191</v>
      </c>
      <c r="O203" s="815"/>
      <c r="P203" s="816"/>
      <c r="Q203" s="817">
        <v>8247.5462888710681</v>
      </c>
      <c r="R203" s="815"/>
      <c r="S203" s="816"/>
      <c r="T203" s="817">
        <v>4645.6858237547895</v>
      </c>
      <c r="U203" s="815"/>
      <c r="V203" s="816"/>
      <c r="W203" s="817">
        <v>4488.6091954022986</v>
      </c>
      <c r="X203" s="815"/>
      <c r="Y203" s="816"/>
      <c r="Z203" s="817">
        <v>4802.7624521072794</v>
      </c>
      <c r="AA203" s="815"/>
      <c r="AB203" s="816"/>
      <c r="AC203" s="817">
        <v>4488.6091954022986</v>
      </c>
      <c r="AD203" s="815"/>
      <c r="AE203" s="816"/>
      <c r="AF203" s="817">
        <v>4645.6858237547895</v>
      </c>
      <c r="AG203" s="815"/>
      <c r="AH203" s="816"/>
      <c r="AI203" s="817">
        <v>8568.3438474561171</v>
      </c>
      <c r="AJ203" s="815"/>
      <c r="AK203" s="816"/>
      <c r="AL203" s="817">
        <v>7605.9511717009709</v>
      </c>
      <c r="AM203" s="815"/>
      <c r="AN203" s="816"/>
      <c r="AO203" s="817">
        <v>4802.7624521072794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25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172166.052</v>
      </c>
      <c r="F204" s="785"/>
      <c r="G204" s="793"/>
      <c r="H204" s="807">
        <v>14702.865444444444</v>
      </c>
      <c r="I204" s="785"/>
      <c r="J204" s="793"/>
      <c r="K204" s="807">
        <v>13849.198777777778</v>
      </c>
      <c r="L204" s="785"/>
      <c r="M204" s="793"/>
      <c r="N204" s="807">
        <v>14133.754333333332</v>
      </c>
      <c r="O204" s="785"/>
      <c r="P204" s="793"/>
      <c r="Q204" s="807">
        <v>14418.309888888889</v>
      </c>
      <c r="R204" s="785"/>
      <c r="S204" s="793"/>
      <c r="T204" s="807">
        <v>14418.309888888889</v>
      </c>
      <c r="U204" s="785"/>
      <c r="V204" s="793"/>
      <c r="W204" s="807">
        <v>14133.754333333332</v>
      </c>
      <c r="X204" s="785"/>
      <c r="Y204" s="793"/>
      <c r="Z204" s="807">
        <v>14702.865444444444</v>
      </c>
      <c r="AA204" s="785"/>
      <c r="AB204" s="793"/>
      <c r="AC204" s="807">
        <v>14133.754333333332</v>
      </c>
      <c r="AD204" s="785"/>
      <c r="AE204" s="793"/>
      <c r="AF204" s="807">
        <v>14418.309888888889</v>
      </c>
      <c r="AG204" s="785"/>
      <c r="AH204" s="793"/>
      <c r="AI204" s="807">
        <v>14702.865444444444</v>
      </c>
      <c r="AJ204" s="785"/>
      <c r="AK204" s="793"/>
      <c r="AL204" s="807">
        <v>13849.198777777778</v>
      </c>
      <c r="AM204" s="785"/>
      <c r="AN204" s="793"/>
      <c r="AO204" s="807">
        <v>14702.865444444444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>
        <v>0</v>
      </c>
      <c r="I205" s="785"/>
      <c r="J205" s="793"/>
      <c r="K205" s="807">
        <v>0</v>
      </c>
      <c r="L205" s="785"/>
      <c r="M205" s="793"/>
      <c r="N205" s="807">
        <v>0</v>
      </c>
      <c r="O205" s="785"/>
      <c r="P205" s="793"/>
      <c r="Q205" s="807">
        <v>0</v>
      </c>
      <c r="R205" s="785"/>
      <c r="S205" s="793"/>
      <c r="T205" s="807">
        <v>0</v>
      </c>
      <c r="U205" s="785"/>
      <c r="V205" s="793"/>
      <c r="W205" s="807">
        <v>0</v>
      </c>
      <c r="X205" s="785"/>
      <c r="Y205" s="793"/>
      <c r="Z205" s="807">
        <v>0</v>
      </c>
      <c r="AA205" s="785"/>
      <c r="AB205" s="793"/>
      <c r="AC205" s="807">
        <v>0</v>
      </c>
      <c r="AD205" s="785"/>
      <c r="AE205" s="793"/>
      <c r="AF205" s="807">
        <v>0</v>
      </c>
      <c r="AG205" s="785"/>
      <c r="AH205" s="793"/>
      <c r="AI205" s="807">
        <v>0</v>
      </c>
      <c r="AJ205" s="785"/>
      <c r="AK205" s="793"/>
      <c r="AL205" s="807">
        <v>0</v>
      </c>
      <c r="AM205" s="785"/>
      <c r="AN205" s="793"/>
      <c r="AO205" s="807">
        <v>0</v>
      </c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25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119491.44347568029</v>
      </c>
      <c r="F208" s="785"/>
      <c r="G208" s="793"/>
      <c r="H208" s="807">
        <v>11014.576258217201</v>
      </c>
      <c r="I208" s="785"/>
      <c r="J208" s="793"/>
      <c r="K208" s="807">
        <v>6780.3104684470381</v>
      </c>
      <c r="L208" s="785"/>
      <c r="M208" s="793"/>
      <c r="N208" s="807">
        <v>7640.7112259186915</v>
      </c>
      <c r="O208" s="785"/>
      <c r="P208" s="793"/>
      <c r="Q208" s="807">
        <v>10919.001465817295</v>
      </c>
      <c r="R208" s="785"/>
      <c r="S208" s="793"/>
      <c r="T208" s="807">
        <v>10499.378590832514</v>
      </c>
      <c r="U208" s="785"/>
      <c r="V208" s="793"/>
      <c r="W208" s="807">
        <v>10113.733087016699</v>
      </c>
      <c r="X208" s="785"/>
      <c r="Y208" s="793"/>
      <c r="Z208" s="807">
        <v>10885.024094648328</v>
      </c>
      <c r="AA208" s="785"/>
      <c r="AB208" s="793"/>
      <c r="AC208" s="807">
        <v>8212.1549590293889</v>
      </c>
      <c r="AD208" s="785"/>
      <c r="AE208" s="793"/>
      <c r="AF208" s="807">
        <v>9749.9243480521855</v>
      </c>
      <c r="AG208" s="785"/>
      <c r="AH208" s="793"/>
      <c r="AI208" s="807">
        <v>11323.720736677875</v>
      </c>
      <c r="AJ208" s="785"/>
      <c r="AK208" s="793"/>
      <c r="AL208" s="807">
        <v>8208.8618312749459</v>
      </c>
      <c r="AM208" s="785"/>
      <c r="AN208" s="793"/>
      <c r="AO208" s="807">
        <v>14144.046409748131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25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138386.34735402188</v>
      </c>
      <c r="F209" s="815"/>
      <c r="G209" s="816"/>
      <c r="H209" s="817">
        <v>13592.12764585231</v>
      </c>
      <c r="I209" s="815"/>
      <c r="J209" s="816"/>
      <c r="K209" s="817">
        <v>11754.994779535898</v>
      </c>
      <c r="L209" s="815"/>
      <c r="M209" s="816"/>
      <c r="N209" s="817">
        <v>11544.118047855416</v>
      </c>
      <c r="O209" s="815"/>
      <c r="P209" s="816"/>
      <c r="Q209" s="817">
        <v>12746.459256205348</v>
      </c>
      <c r="R209" s="815"/>
      <c r="S209" s="816"/>
      <c r="T209" s="817">
        <v>12032.856253535499</v>
      </c>
      <c r="U209" s="815"/>
      <c r="V209" s="816"/>
      <c r="W209" s="817">
        <v>11632.793418454114</v>
      </c>
      <c r="X209" s="815"/>
      <c r="Y209" s="816"/>
      <c r="Z209" s="817">
        <v>12519.93062882879</v>
      </c>
      <c r="AA209" s="815"/>
      <c r="AB209" s="816"/>
      <c r="AC209" s="817">
        <v>11738.025838177879</v>
      </c>
      <c r="AD209" s="815"/>
      <c r="AE209" s="816"/>
      <c r="AF209" s="817">
        <v>10377.450261741044</v>
      </c>
      <c r="AG209" s="815"/>
      <c r="AH209" s="816"/>
      <c r="AI209" s="817">
        <v>11566.550042991483</v>
      </c>
      <c r="AJ209" s="815"/>
      <c r="AK209" s="816"/>
      <c r="AL209" s="817">
        <v>10394.917427647079</v>
      </c>
      <c r="AM209" s="815"/>
      <c r="AN209" s="816"/>
      <c r="AO209" s="817">
        <v>8486.1237531970291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25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72294.054037369235</v>
      </c>
      <c r="F210" s="785"/>
      <c r="G210" s="793"/>
      <c r="H210" s="807">
        <v>5468.0973287911593</v>
      </c>
      <c r="I210" s="785"/>
      <c r="J210" s="793"/>
      <c r="K210" s="807">
        <v>5158.931878166225</v>
      </c>
      <c r="L210" s="785"/>
      <c r="M210" s="793"/>
      <c r="N210" s="807">
        <v>5813.5846284163963</v>
      </c>
      <c r="O210" s="785"/>
      <c r="P210" s="793"/>
      <c r="Q210" s="807">
        <v>6560.6775583409881</v>
      </c>
      <c r="R210" s="785"/>
      <c r="S210" s="793"/>
      <c r="T210" s="807">
        <v>6308.547325782848</v>
      </c>
      <c r="U210" s="785"/>
      <c r="V210" s="793"/>
      <c r="W210" s="807">
        <v>6076.8323827745371</v>
      </c>
      <c r="X210" s="785"/>
      <c r="Y210" s="793"/>
      <c r="Z210" s="807">
        <v>6540.2622687911589</v>
      </c>
      <c r="AA210" s="785"/>
      <c r="AB210" s="793"/>
      <c r="AC210" s="807">
        <v>6248.378773174536</v>
      </c>
      <c r="AD210" s="785"/>
      <c r="AE210" s="793"/>
      <c r="AF210" s="807">
        <v>5858.2380509828472</v>
      </c>
      <c r="AG210" s="785"/>
      <c r="AH210" s="793"/>
      <c r="AI210" s="807">
        <v>6803.8529664655789</v>
      </c>
      <c r="AJ210" s="785"/>
      <c r="AK210" s="793"/>
      <c r="AL210" s="807">
        <v>6245.8731324918072</v>
      </c>
      <c r="AM210" s="785"/>
      <c r="AN210" s="793"/>
      <c r="AO210" s="807">
        <v>5210.7777431911591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25">
      <c r="A211" s="540" t="str">
        <f t="shared" si="4"/>
        <v>ServiceCsst</v>
      </c>
      <c r="B211" s="626" t="s">
        <v>116</v>
      </c>
      <c r="C211" s="785"/>
      <c r="D211" s="793"/>
      <c r="E211" s="807">
        <v>15491.583008007692</v>
      </c>
      <c r="F211" s="785"/>
      <c r="G211" s="793"/>
      <c r="H211" s="807">
        <v>1171.7351418838198</v>
      </c>
      <c r="I211" s="785"/>
      <c r="J211" s="793"/>
      <c r="K211" s="807">
        <v>1105.4854024641909</v>
      </c>
      <c r="L211" s="785"/>
      <c r="M211" s="793"/>
      <c r="N211" s="807">
        <v>1245.7681346606562</v>
      </c>
      <c r="O211" s="785"/>
      <c r="P211" s="793"/>
      <c r="Q211" s="807">
        <v>1405.8594767873542</v>
      </c>
      <c r="R211" s="785"/>
      <c r="S211" s="793"/>
      <c r="T211" s="807">
        <v>1351.8315698106103</v>
      </c>
      <c r="U211" s="785"/>
      <c r="V211" s="793"/>
      <c r="W211" s="807">
        <v>1302.1783677374005</v>
      </c>
      <c r="X211" s="785"/>
      <c r="Y211" s="793"/>
      <c r="Z211" s="807">
        <v>1401.4847718838196</v>
      </c>
      <c r="AA211" s="785"/>
      <c r="AB211" s="793"/>
      <c r="AC211" s="807">
        <v>1338.9383085374004</v>
      </c>
      <c r="AD211" s="785"/>
      <c r="AE211" s="793"/>
      <c r="AF211" s="807">
        <v>1255.33672521061</v>
      </c>
      <c r="AG211" s="785"/>
      <c r="AH211" s="793"/>
      <c r="AI211" s="807">
        <v>1457.9684928140523</v>
      </c>
      <c r="AJ211" s="785"/>
      <c r="AK211" s="793"/>
      <c r="AL211" s="807">
        <v>1338.4013855339585</v>
      </c>
      <c r="AM211" s="785"/>
      <c r="AN211" s="793"/>
      <c r="AO211" s="807">
        <v>1116.5952306838196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0.25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0.65886769869711759</v>
      </c>
      <c r="E213" s="814">
        <v>778566.02218277135</v>
      </c>
      <c r="F213" s="812" t="s">
        <v>162</v>
      </c>
      <c r="G213" s="813">
        <v>1.1239572149173278</v>
      </c>
      <c r="H213" s="814">
        <v>67082.702482318913</v>
      </c>
      <c r="I213" s="812" t="s">
        <v>162</v>
      </c>
      <c r="J213" s="813">
        <v>0.97413173764800143</v>
      </c>
      <c r="K213" s="814">
        <v>58393.608839547618</v>
      </c>
      <c r="L213" s="812" t="s">
        <v>162</v>
      </c>
      <c r="M213" s="813">
        <v>0.81247241075115251</v>
      </c>
      <c r="N213" s="814">
        <v>64023.634481549205</v>
      </c>
      <c r="O213" s="812" t="s">
        <v>162</v>
      </c>
      <c r="P213" s="813">
        <v>0.5707250559883944</v>
      </c>
      <c r="Q213" s="814">
        <v>70322.597730961643</v>
      </c>
      <c r="R213" s="812" t="s">
        <v>162</v>
      </c>
      <c r="S213" s="813">
        <v>0.44558393095068116</v>
      </c>
      <c r="T213" s="814">
        <v>65281.353248655847</v>
      </c>
      <c r="U213" s="812" t="s">
        <v>162</v>
      </c>
      <c r="V213" s="813">
        <v>0.63406660589524877</v>
      </c>
      <c r="W213" s="814">
        <v>63466.850165797077</v>
      </c>
      <c r="X213" s="812" t="s">
        <v>162</v>
      </c>
      <c r="Y213" s="813">
        <v>0.67615554971572123</v>
      </c>
      <c r="Z213" s="814">
        <v>67182.867871726514</v>
      </c>
      <c r="AA213" s="812" t="s">
        <v>162</v>
      </c>
      <c r="AB213" s="813">
        <v>0.6498758987389337</v>
      </c>
      <c r="AC213" s="814">
        <v>61878.810788733521</v>
      </c>
      <c r="AD213" s="812" t="s">
        <v>162</v>
      </c>
      <c r="AE213" s="813">
        <v>0.66163534307112282</v>
      </c>
      <c r="AF213" s="814">
        <v>62329.688894681065</v>
      </c>
      <c r="AG213" s="812" t="s">
        <v>162</v>
      </c>
      <c r="AH213" s="813">
        <v>0.5806765498470523</v>
      </c>
      <c r="AI213" s="814">
        <v>70753.839741872245</v>
      </c>
      <c r="AJ213" s="812" t="s">
        <v>162</v>
      </c>
      <c r="AK213" s="813">
        <v>0.45474974376816107</v>
      </c>
      <c r="AL213" s="814">
        <v>63056.358692533227</v>
      </c>
      <c r="AM213" s="812" t="s">
        <v>162</v>
      </c>
      <c r="AN213" s="813">
        <v>1.0102913444153854</v>
      </c>
      <c r="AO213" s="814">
        <v>64793.709244394558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25">
      <c r="A214" s="540" t="str">
        <f t="shared" si="4"/>
        <v>ServicePublicité 2</v>
      </c>
      <c r="B214" s="550" t="s">
        <v>118</v>
      </c>
      <c r="C214" s="785"/>
      <c r="D214" s="793"/>
      <c r="E214" s="807">
        <v>68040.05</v>
      </c>
      <c r="F214" s="785"/>
      <c r="G214" s="793"/>
      <c r="H214" s="807">
        <v>4604.4572585937312</v>
      </c>
      <c r="I214" s="785"/>
      <c r="J214" s="793"/>
      <c r="K214" s="807">
        <v>6517.1869726438581</v>
      </c>
      <c r="L214" s="785"/>
      <c r="M214" s="793"/>
      <c r="N214" s="807">
        <v>6556.4550640381294</v>
      </c>
      <c r="O214" s="785"/>
      <c r="P214" s="793"/>
      <c r="Q214" s="807">
        <v>6712.8869522272007</v>
      </c>
      <c r="R214" s="785"/>
      <c r="S214" s="793"/>
      <c r="T214" s="807">
        <v>4851.9259817094062</v>
      </c>
      <c r="U214" s="785"/>
      <c r="V214" s="793"/>
      <c r="W214" s="807">
        <v>4707.9549009934026</v>
      </c>
      <c r="X214" s="785"/>
      <c r="Y214" s="793"/>
      <c r="Z214" s="807">
        <v>4707.0988956865158</v>
      </c>
      <c r="AA214" s="785"/>
      <c r="AB214" s="793"/>
      <c r="AC214" s="807">
        <v>4684.8111007154885</v>
      </c>
      <c r="AD214" s="785"/>
      <c r="AE214" s="793"/>
      <c r="AF214" s="807">
        <v>4674.1841688179957</v>
      </c>
      <c r="AG214" s="785"/>
      <c r="AH214" s="793"/>
      <c r="AI214" s="807">
        <v>6717.7232526126827</v>
      </c>
      <c r="AJ214" s="785"/>
      <c r="AK214" s="793"/>
      <c r="AL214" s="807">
        <v>6763.8677719094085</v>
      </c>
      <c r="AM214" s="785"/>
      <c r="AN214" s="793"/>
      <c r="AO214" s="807">
        <v>6541.4976800521836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25">
      <c r="A215" s="540" t="str">
        <f t="shared" si="4"/>
        <v>ServiceService gratuit 2</v>
      </c>
      <c r="B215" s="550" t="s">
        <v>119</v>
      </c>
      <c r="C215" s="785"/>
      <c r="D215" s="793"/>
      <c r="E215" s="807">
        <v>33099.999999999993</v>
      </c>
      <c r="F215" s="785"/>
      <c r="G215" s="793"/>
      <c r="H215" s="807">
        <v>2758.3333333333335</v>
      </c>
      <c r="I215" s="785"/>
      <c r="J215" s="793"/>
      <c r="K215" s="807">
        <v>2758.3333333333335</v>
      </c>
      <c r="L215" s="785"/>
      <c r="M215" s="793"/>
      <c r="N215" s="807">
        <v>2758.3333333333335</v>
      </c>
      <c r="O215" s="785"/>
      <c r="P215" s="793"/>
      <c r="Q215" s="807">
        <v>2758.3333333333335</v>
      </c>
      <c r="R215" s="785"/>
      <c r="S215" s="793"/>
      <c r="T215" s="807">
        <v>2758.3333333333335</v>
      </c>
      <c r="U215" s="785"/>
      <c r="V215" s="793"/>
      <c r="W215" s="807">
        <v>2758.3333333333335</v>
      </c>
      <c r="X215" s="785"/>
      <c r="Y215" s="793"/>
      <c r="Z215" s="807">
        <v>2758.3333333333335</v>
      </c>
      <c r="AA215" s="785"/>
      <c r="AB215" s="793"/>
      <c r="AC215" s="807">
        <v>2758.3333333333335</v>
      </c>
      <c r="AD215" s="785"/>
      <c r="AE215" s="793"/>
      <c r="AF215" s="807">
        <v>2758.3333333333335</v>
      </c>
      <c r="AG215" s="785"/>
      <c r="AH215" s="793"/>
      <c r="AI215" s="807">
        <v>2758.3333333333335</v>
      </c>
      <c r="AJ215" s="785"/>
      <c r="AK215" s="793"/>
      <c r="AL215" s="807">
        <v>2758.3333333333335</v>
      </c>
      <c r="AM215" s="785"/>
      <c r="AN215" s="793"/>
      <c r="AO215" s="807">
        <v>2758.3333333333335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25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67414.000000000015</v>
      </c>
      <c r="F216" s="811"/>
      <c r="G216" s="818"/>
      <c r="H216" s="810">
        <v>3992.8333333333335</v>
      </c>
      <c r="I216" s="811"/>
      <c r="J216" s="818"/>
      <c r="K216" s="810">
        <v>3992.8333333333335</v>
      </c>
      <c r="L216" s="811"/>
      <c r="M216" s="818"/>
      <c r="N216" s="810">
        <v>6592.8333333333339</v>
      </c>
      <c r="O216" s="811"/>
      <c r="P216" s="818"/>
      <c r="Q216" s="810">
        <v>6592.8333333333339</v>
      </c>
      <c r="R216" s="811"/>
      <c r="S216" s="818"/>
      <c r="T216" s="810">
        <v>6592.8333333333339</v>
      </c>
      <c r="U216" s="811"/>
      <c r="V216" s="818"/>
      <c r="W216" s="810">
        <v>5292.8333333333339</v>
      </c>
      <c r="X216" s="811"/>
      <c r="Y216" s="818"/>
      <c r="Z216" s="810">
        <v>5292.8333333333339</v>
      </c>
      <c r="AA216" s="811"/>
      <c r="AB216" s="818"/>
      <c r="AC216" s="810">
        <v>5942.8333333333339</v>
      </c>
      <c r="AD216" s="811"/>
      <c r="AE216" s="818"/>
      <c r="AF216" s="810">
        <v>5942.8333333333339</v>
      </c>
      <c r="AG216" s="811"/>
      <c r="AH216" s="818"/>
      <c r="AI216" s="810">
        <v>6592.8333333333339</v>
      </c>
      <c r="AJ216" s="811"/>
      <c r="AK216" s="818"/>
      <c r="AL216" s="810">
        <v>6592.8333333333339</v>
      </c>
      <c r="AM216" s="811"/>
      <c r="AN216" s="818"/>
      <c r="AO216" s="810">
        <v>3992.8333333333335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25">
      <c r="A217" s="540" t="str">
        <f t="shared" si="4"/>
        <v>ServiceInformatique</v>
      </c>
      <c r="B217" s="550" t="s">
        <v>121</v>
      </c>
      <c r="C217" s="785"/>
      <c r="D217" s="793"/>
      <c r="E217" s="807">
        <v>72402</v>
      </c>
      <c r="F217" s="785"/>
      <c r="G217" s="793"/>
      <c r="H217" s="807">
        <v>6033.5</v>
      </c>
      <c r="I217" s="785"/>
      <c r="J217" s="793"/>
      <c r="K217" s="807">
        <v>6033.5</v>
      </c>
      <c r="L217" s="785"/>
      <c r="M217" s="793"/>
      <c r="N217" s="807">
        <v>6033.5</v>
      </c>
      <c r="O217" s="785"/>
      <c r="P217" s="793"/>
      <c r="Q217" s="807">
        <v>6033.5</v>
      </c>
      <c r="R217" s="785"/>
      <c r="S217" s="793"/>
      <c r="T217" s="807">
        <v>6033.5</v>
      </c>
      <c r="U217" s="785"/>
      <c r="V217" s="793"/>
      <c r="W217" s="807">
        <v>6033.5</v>
      </c>
      <c r="X217" s="785"/>
      <c r="Y217" s="793"/>
      <c r="Z217" s="807">
        <v>6033.5</v>
      </c>
      <c r="AA217" s="785"/>
      <c r="AB217" s="793"/>
      <c r="AC217" s="807">
        <v>6033.5</v>
      </c>
      <c r="AD217" s="785"/>
      <c r="AE217" s="793"/>
      <c r="AF217" s="807">
        <v>6033.5</v>
      </c>
      <c r="AG217" s="785"/>
      <c r="AH217" s="793"/>
      <c r="AI217" s="807">
        <v>6033.5</v>
      </c>
      <c r="AJ217" s="785"/>
      <c r="AK217" s="793"/>
      <c r="AL217" s="807">
        <v>6033.5</v>
      </c>
      <c r="AM217" s="785"/>
      <c r="AN217" s="793"/>
      <c r="AO217" s="807">
        <v>6033.5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25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5499.9999999999991</v>
      </c>
      <c r="F218" s="785"/>
      <c r="G218" s="793"/>
      <c r="H218" s="807">
        <v>458.33333333333331</v>
      </c>
      <c r="I218" s="785"/>
      <c r="J218" s="793"/>
      <c r="K218" s="807">
        <v>458.33333333333331</v>
      </c>
      <c r="L218" s="785"/>
      <c r="M218" s="793"/>
      <c r="N218" s="807">
        <v>458.33333333333331</v>
      </c>
      <c r="O218" s="785"/>
      <c r="P218" s="793"/>
      <c r="Q218" s="807">
        <v>458.33333333333331</v>
      </c>
      <c r="R218" s="785"/>
      <c r="S218" s="793"/>
      <c r="T218" s="807">
        <v>458.33333333333331</v>
      </c>
      <c r="U218" s="785"/>
      <c r="V218" s="793"/>
      <c r="W218" s="807">
        <v>458.33333333333331</v>
      </c>
      <c r="X218" s="785"/>
      <c r="Y218" s="793"/>
      <c r="Z218" s="807">
        <v>458.33333333333331</v>
      </c>
      <c r="AA218" s="785"/>
      <c r="AB218" s="793"/>
      <c r="AC218" s="807">
        <v>458.33333333333331</v>
      </c>
      <c r="AD218" s="785"/>
      <c r="AE218" s="793"/>
      <c r="AF218" s="807">
        <v>458.33333333333331</v>
      </c>
      <c r="AG218" s="785"/>
      <c r="AH218" s="793"/>
      <c r="AI218" s="807">
        <v>458.33333333333331</v>
      </c>
      <c r="AJ218" s="785"/>
      <c r="AK218" s="793"/>
      <c r="AL218" s="807">
        <v>458.33333333333331</v>
      </c>
      <c r="AM218" s="785"/>
      <c r="AN218" s="793"/>
      <c r="AO218" s="807">
        <v>458.33333333333331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25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67698</v>
      </c>
      <c r="F219" s="811"/>
      <c r="G219" s="818"/>
      <c r="H219" s="810">
        <v>5641.5</v>
      </c>
      <c r="I219" s="811"/>
      <c r="J219" s="818"/>
      <c r="K219" s="810">
        <v>5641.5</v>
      </c>
      <c r="L219" s="811"/>
      <c r="M219" s="818"/>
      <c r="N219" s="810">
        <v>5641.5</v>
      </c>
      <c r="O219" s="811"/>
      <c r="P219" s="818"/>
      <c r="Q219" s="810">
        <v>5641.5</v>
      </c>
      <c r="R219" s="811"/>
      <c r="S219" s="818"/>
      <c r="T219" s="810">
        <v>5641.5</v>
      </c>
      <c r="U219" s="811"/>
      <c r="V219" s="818"/>
      <c r="W219" s="810">
        <v>5641.5</v>
      </c>
      <c r="X219" s="811"/>
      <c r="Y219" s="818"/>
      <c r="Z219" s="810">
        <v>5641.5</v>
      </c>
      <c r="AA219" s="811"/>
      <c r="AB219" s="818"/>
      <c r="AC219" s="810">
        <v>5641.5</v>
      </c>
      <c r="AD219" s="811"/>
      <c r="AE219" s="818"/>
      <c r="AF219" s="810">
        <v>5641.5</v>
      </c>
      <c r="AG219" s="811"/>
      <c r="AH219" s="818"/>
      <c r="AI219" s="810">
        <v>5641.5</v>
      </c>
      <c r="AJ219" s="811"/>
      <c r="AK219" s="818"/>
      <c r="AL219" s="810">
        <v>5641.5</v>
      </c>
      <c r="AM219" s="811"/>
      <c r="AN219" s="818"/>
      <c r="AO219" s="810">
        <v>5641.5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25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25">
      <c r="A221" s="540" t="str">
        <f t="shared" si="4"/>
        <v>ServiceFournitures autres</v>
      </c>
      <c r="B221" s="550" t="s">
        <v>124</v>
      </c>
      <c r="C221" s="785"/>
      <c r="D221" s="793"/>
      <c r="E221" s="807">
        <v>13200</v>
      </c>
      <c r="F221" s="785"/>
      <c r="G221" s="793"/>
      <c r="H221" s="807">
        <v>1100</v>
      </c>
      <c r="I221" s="785"/>
      <c r="J221" s="793"/>
      <c r="K221" s="807">
        <v>1100</v>
      </c>
      <c r="L221" s="785"/>
      <c r="M221" s="793"/>
      <c r="N221" s="807">
        <v>1100</v>
      </c>
      <c r="O221" s="785"/>
      <c r="P221" s="793"/>
      <c r="Q221" s="807">
        <v>1100</v>
      </c>
      <c r="R221" s="785"/>
      <c r="S221" s="793"/>
      <c r="T221" s="807">
        <v>1100</v>
      </c>
      <c r="U221" s="785"/>
      <c r="V221" s="793"/>
      <c r="W221" s="807">
        <v>1100</v>
      </c>
      <c r="X221" s="785"/>
      <c r="Y221" s="793"/>
      <c r="Z221" s="807">
        <v>1100</v>
      </c>
      <c r="AA221" s="785"/>
      <c r="AB221" s="793"/>
      <c r="AC221" s="807">
        <v>1100</v>
      </c>
      <c r="AD221" s="785"/>
      <c r="AE221" s="793"/>
      <c r="AF221" s="807">
        <v>1100</v>
      </c>
      <c r="AG221" s="785"/>
      <c r="AH221" s="793"/>
      <c r="AI221" s="807">
        <v>1100</v>
      </c>
      <c r="AJ221" s="785"/>
      <c r="AK221" s="793"/>
      <c r="AL221" s="807">
        <v>1100</v>
      </c>
      <c r="AM221" s="785"/>
      <c r="AN221" s="793"/>
      <c r="AO221" s="807">
        <v>1100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25">
      <c r="A222" s="540" t="str">
        <f t="shared" si="4"/>
        <v>ServiceUniformes</v>
      </c>
      <c r="B222" s="550" t="s">
        <v>125</v>
      </c>
      <c r="C222" s="785"/>
      <c r="D222" s="793"/>
      <c r="E222" s="807">
        <v>12000</v>
      </c>
      <c r="F222" s="785"/>
      <c r="G222" s="793"/>
      <c r="H222" s="807">
        <v>1000</v>
      </c>
      <c r="I222" s="785"/>
      <c r="J222" s="793"/>
      <c r="K222" s="807">
        <v>1000</v>
      </c>
      <c r="L222" s="785"/>
      <c r="M222" s="793"/>
      <c r="N222" s="807">
        <v>1000</v>
      </c>
      <c r="O222" s="785"/>
      <c r="P222" s="793"/>
      <c r="Q222" s="807">
        <v>1000</v>
      </c>
      <c r="R222" s="785"/>
      <c r="S222" s="793"/>
      <c r="T222" s="807">
        <v>1000</v>
      </c>
      <c r="U222" s="785"/>
      <c r="V222" s="793"/>
      <c r="W222" s="807">
        <v>1000</v>
      </c>
      <c r="X222" s="785"/>
      <c r="Y222" s="793"/>
      <c r="Z222" s="807">
        <v>1000</v>
      </c>
      <c r="AA222" s="785"/>
      <c r="AB222" s="793"/>
      <c r="AC222" s="807">
        <v>1000</v>
      </c>
      <c r="AD222" s="785"/>
      <c r="AE222" s="793"/>
      <c r="AF222" s="807">
        <v>1000</v>
      </c>
      <c r="AG222" s="785"/>
      <c r="AH222" s="793"/>
      <c r="AI222" s="807">
        <v>1000</v>
      </c>
      <c r="AJ222" s="785"/>
      <c r="AK222" s="793"/>
      <c r="AL222" s="807">
        <v>1000</v>
      </c>
      <c r="AM222" s="785"/>
      <c r="AN222" s="793"/>
      <c r="AO222" s="807">
        <v>1000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25">
      <c r="A223" s="540" t="str">
        <f t="shared" si="4"/>
        <v>ServicePapeterie</v>
      </c>
      <c r="B223" s="550" t="s">
        <v>126</v>
      </c>
      <c r="C223" s="785"/>
      <c r="D223" s="793"/>
      <c r="E223" s="807">
        <v>4725</v>
      </c>
      <c r="F223" s="785"/>
      <c r="G223" s="793"/>
      <c r="H223" s="807">
        <v>393.75</v>
      </c>
      <c r="I223" s="785"/>
      <c r="J223" s="793"/>
      <c r="K223" s="807">
        <v>393.75</v>
      </c>
      <c r="L223" s="785"/>
      <c r="M223" s="793"/>
      <c r="N223" s="807">
        <v>393.75</v>
      </c>
      <c r="O223" s="785"/>
      <c r="P223" s="793"/>
      <c r="Q223" s="807">
        <v>393.75</v>
      </c>
      <c r="R223" s="785"/>
      <c r="S223" s="793"/>
      <c r="T223" s="807">
        <v>393.75</v>
      </c>
      <c r="U223" s="785"/>
      <c r="V223" s="793"/>
      <c r="W223" s="807">
        <v>393.75</v>
      </c>
      <c r="X223" s="785"/>
      <c r="Y223" s="793"/>
      <c r="Z223" s="807">
        <v>393.75</v>
      </c>
      <c r="AA223" s="785"/>
      <c r="AB223" s="793"/>
      <c r="AC223" s="807">
        <v>393.75</v>
      </c>
      <c r="AD223" s="785"/>
      <c r="AE223" s="793"/>
      <c r="AF223" s="807">
        <v>393.75</v>
      </c>
      <c r="AG223" s="785"/>
      <c r="AH223" s="793"/>
      <c r="AI223" s="807">
        <v>393.75</v>
      </c>
      <c r="AJ223" s="785"/>
      <c r="AK223" s="793"/>
      <c r="AL223" s="807">
        <v>393.75</v>
      </c>
      <c r="AM223" s="785"/>
      <c r="AN223" s="793"/>
      <c r="AO223" s="807">
        <v>393.75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25">
      <c r="A224" s="540" t="str">
        <f t="shared" si="4"/>
        <v>ServiceTéléphone</v>
      </c>
      <c r="B224" s="550" t="s">
        <v>127</v>
      </c>
      <c r="C224" s="785"/>
      <c r="D224" s="793"/>
      <c r="E224" s="807">
        <v>1440</v>
      </c>
      <c r="F224" s="785"/>
      <c r="G224" s="793"/>
      <c r="H224" s="807">
        <v>120</v>
      </c>
      <c r="I224" s="785"/>
      <c r="J224" s="793"/>
      <c r="K224" s="807">
        <v>120</v>
      </c>
      <c r="L224" s="785"/>
      <c r="M224" s="793"/>
      <c r="N224" s="807">
        <v>120</v>
      </c>
      <c r="O224" s="785"/>
      <c r="P224" s="793"/>
      <c r="Q224" s="807">
        <v>120</v>
      </c>
      <c r="R224" s="785"/>
      <c r="S224" s="793"/>
      <c r="T224" s="807">
        <v>120</v>
      </c>
      <c r="U224" s="785"/>
      <c r="V224" s="793"/>
      <c r="W224" s="807">
        <v>120</v>
      </c>
      <c r="X224" s="785"/>
      <c r="Y224" s="793"/>
      <c r="Z224" s="807">
        <v>120</v>
      </c>
      <c r="AA224" s="785"/>
      <c r="AB224" s="793"/>
      <c r="AC224" s="807">
        <v>120</v>
      </c>
      <c r="AD224" s="785"/>
      <c r="AE224" s="793"/>
      <c r="AF224" s="807">
        <v>120</v>
      </c>
      <c r="AG224" s="785"/>
      <c r="AH224" s="793"/>
      <c r="AI224" s="807">
        <v>120</v>
      </c>
      <c r="AJ224" s="785"/>
      <c r="AK224" s="793"/>
      <c r="AL224" s="807">
        <v>120</v>
      </c>
      <c r="AM224" s="785"/>
      <c r="AN224" s="793"/>
      <c r="AO224" s="807">
        <v>120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25">
      <c r="A225" s="540" t="str">
        <f t="shared" si="4"/>
        <v>ServiceFrais postaux</v>
      </c>
      <c r="B225" s="550" t="s">
        <v>128</v>
      </c>
      <c r="C225" s="785"/>
      <c r="D225" s="793"/>
      <c r="E225" s="807">
        <v>1350</v>
      </c>
      <c r="F225" s="785"/>
      <c r="G225" s="793"/>
      <c r="H225" s="807">
        <v>112.5</v>
      </c>
      <c r="I225" s="785"/>
      <c r="J225" s="793"/>
      <c r="K225" s="807">
        <v>112.5</v>
      </c>
      <c r="L225" s="785"/>
      <c r="M225" s="793"/>
      <c r="N225" s="807">
        <v>112.5</v>
      </c>
      <c r="O225" s="785"/>
      <c r="P225" s="793"/>
      <c r="Q225" s="807">
        <v>112.5</v>
      </c>
      <c r="R225" s="785"/>
      <c r="S225" s="793"/>
      <c r="T225" s="807">
        <v>112.5</v>
      </c>
      <c r="U225" s="785"/>
      <c r="V225" s="793"/>
      <c r="W225" s="807">
        <v>112.5</v>
      </c>
      <c r="X225" s="785"/>
      <c r="Y225" s="793"/>
      <c r="Z225" s="807">
        <v>112.5</v>
      </c>
      <c r="AA225" s="785"/>
      <c r="AB225" s="793"/>
      <c r="AC225" s="807">
        <v>112.5</v>
      </c>
      <c r="AD225" s="785"/>
      <c r="AE225" s="793"/>
      <c r="AF225" s="807">
        <v>112.5</v>
      </c>
      <c r="AG225" s="785"/>
      <c r="AH225" s="793"/>
      <c r="AI225" s="807">
        <v>112.5</v>
      </c>
      <c r="AJ225" s="785"/>
      <c r="AK225" s="793"/>
      <c r="AL225" s="807">
        <v>112.5</v>
      </c>
      <c r="AM225" s="785"/>
      <c r="AN225" s="793"/>
      <c r="AO225" s="807">
        <v>112.5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25">
      <c r="A226" s="540" t="str">
        <f t="shared" si="4"/>
        <v>ServiceDivers</v>
      </c>
      <c r="B226" s="550" t="s">
        <v>129</v>
      </c>
      <c r="C226" s="785"/>
      <c r="D226" s="793"/>
      <c r="E226" s="807">
        <v>5223</v>
      </c>
      <c r="F226" s="785"/>
      <c r="G226" s="793"/>
      <c r="H226" s="807">
        <v>435.25</v>
      </c>
      <c r="I226" s="785"/>
      <c r="J226" s="793"/>
      <c r="K226" s="807">
        <v>435.25</v>
      </c>
      <c r="L226" s="785"/>
      <c r="M226" s="793"/>
      <c r="N226" s="807">
        <v>435.25</v>
      </c>
      <c r="O226" s="785"/>
      <c r="P226" s="793"/>
      <c r="Q226" s="807">
        <v>435.25</v>
      </c>
      <c r="R226" s="785"/>
      <c r="S226" s="793"/>
      <c r="T226" s="807">
        <v>435.25</v>
      </c>
      <c r="U226" s="785"/>
      <c r="V226" s="793"/>
      <c r="W226" s="807">
        <v>435.25</v>
      </c>
      <c r="X226" s="785"/>
      <c r="Y226" s="793"/>
      <c r="Z226" s="807">
        <v>435.25</v>
      </c>
      <c r="AA226" s="785"/>
      <c r="AB226" s="793"/>
      <c r="AC226" s="807">
        <v>435.25</v>
      </c>
      <c r="AD226" s="785"/>
      <c r="AE226" s="793"/>
      <c r="AF226" s="807">
        <v>435.25</v>
      </c>
      <c r="AG226" s="785"/>
      <c r="AH226" s="793"/>
      <c r="AI226" s="807">
        <v>435.25</v>
      </c>
      <c r="AJ226" s="785"/>
      <c r="AK226" s="793"/>
      <c r="AL226" s="807">
        <v>435.25</v>
      </c>
      <c r="AM226" s="785"/>
      <c r="AN226" s="793"/>
      <c r="AO226" s="807">
        <v>435.25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25">
      <c r="A227" s="540" t="str">
        <f t="shared" si="4"/>
        <v>ServiceFormation</v>
      </c>
      <c r="B227" s="550" t="s">
        <v>130</v>
      </c>
      <c r="C227" s="785"/>
      <c r="D227" s="793"/>
      <c r="E227" s="807">
        <v>19724.583400000003</v>
      </c>
      <c r="F227" s="785"/>
      <c r="G227" s="793"/>
      <c r="H227" s="807">
        <v>1643.7152833333334</v>
      </c>
      <c r="I227" s="785"/>
      <c r="J227" s="793"/>
      <c r="K227" s="807">
        <v>1643.7152833333334</v>
      </c>
      <c r="L227" s="785"/>
      <c r="M227" s="793"/>
      <c r="N227" s="807">
        <v>1643.7152833333334</v>
      </c>
      <c r="O227" s="785"/>
      <c r="P227" s="793"/>
      <c r="Q227" s="807">
        <v>1643.7152833333334</v>
      </c>
      <c r="R227" s="785"/>
      <c r="S227" s="793"/>
      <c r="T227" s="807">
        <v>1643.7152833333334</v>
      </c>
      <c r="U227" s="785"/>
      <c r="V227" s="793"/>
      <c r="W227" s="807">
        <v>1643.7152833333334</v>
      </c>
      <c r="X227" s="785"/>
      <c r="Y227" s="793"/>
      <c r="Z227" s="807">
        <v>1643.7152833333334</v>
      </c>
      <c r="AA227" s="785"/>
      <c r="AB227" s="793"/>
      <c r="AC227" s="807">
        <v>1643.7152833333334</v>
      </c>
      <c r="AD227" s="785"/>
      <c r="AE227" s="793"/>
      <c r="AF227" s="807">
        <v>1643.7152833333334</v>
      </c>
      <c r="AG227" s="785"/>
      <c r="AH227" s="793"/>
      <c r="AI227" s="807">
        <v>1643.7152833333334</v>
      </c>
      <c r="AJ227" s="785"/>
      <c r="AK227" s="793"/>
      <c r="AL227" s="807">
        <v>1643.7152833333334</v>
      </c>
      <c r="AM227" s="785"/>
      <c r="AN227" s="793"/>
      <c r="AO227" s="807">
        <v>1643.7152833333334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25">
      <c r="A228" s="540" t="str">
        <f t="shared" si="4"/>
        <v>ServiceFrais bancaires</v>
      </c>
      <c r="B228" s="550" t="s">
        <v>131</v>
      </c>
      <c r="C228" s="785"/>
      <c r="D228" s="793"/>
      <c r="E228" s="807">
        <v>19631.58775147059</v>
      </c>
      <c r="F228" s="785"/>
      <c r="G228" s="793"/>
      <c r="H228" s="807">
        <v>1098.9736298069524</v>
      </c>
      <c r="I228" s="785"/>
      <c r="J228" s="793"/>
      <c r="K228" s="807">
        <v>1069.2130546377552</v>
      </c>
      <c r="L228" s="785"/>
      <c r="M228" s="793"/>
      <c r="N228" s="807">
        <v>1714.5035562209277</v>
      </c>
      <c r="O228" s="785"/>
      <c r="P228" s="793"/>
      <c r="Q228" s="807">
        <v>2268.5539150202549</v>
      </c>
      <c r="R228" s="785"/>
      <c r="S228" s="793"/>
      <c r="T228" s="807">
        <v>2351.0646933385674</v>
      </c>
      <c r="U228" s="785"/>
      <c r="V228" s="793"/>
      <c r="W228" s="807">
        <v>1644.5242639665751</v>
      </c>
      <c r="X228" s="785"/>
      <c r="Y228" s="793"/>
      <c r="Z228" s="807">
        <v>1493.1292051216215</v>
      </c>
      <c r="AA228" s="785"/>
      <c r="AB228" s="793"/>
      <c r="AC228" s="807">
        <v>1745.9094681098122</v>
      </c>
      <c r="AD228" s="785"/>
      <c r="AE228" s="793"/>
      <c r="AF228" s="807">
        <v>1734.4611668476182</v>
      </c>
      <c r="AG228" s="785"/>
      <c r="AH228" s="793"/>
      <c r="AI228" s="807">
        <v>1726.0352369539503</v>
      </c>
      <c r="AJ228" s="785"/>
      <c r="AK228" s="793"/>
      <c r="AL228" s="807">
        <v>1594.9048804151323</v>
      </c>
      <c r="AM228" s="785"/>
      <c r="AN228" s="793"/>
      <c r="AO228" s="807">
        <v>1190.3146810314208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0.25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0.33126617561099242</v>
      </c>
      <c r="E232" s="814">
        <v>391448.22115147056</v>
      </c>
      <c r="F232" s="812" t="s">
        <v>162</v>
      </c>
      <c r="G232" s="813">
        <v>0.49247626416880863</v>
      </c>
      <c r="H232" s="814">
        <v>29393.146171734017</v>
      </c>
      <c r="I232" s="812" t="s">
        <v>162</v>
      </c>
      <c r="J232" s="813">
        <v>0.52175327334409416</v>
      </c>
      <c r="K232" s="814">
        <v>31276.115310614947</v>
      </c>
      <c r="L232" s="812" t="s">
        <v>162</v>
      </c>
      <c r="M232" s="813">
        <v>0.43858169363578287</v>
      </c>
      <c r="N232" s="814">
        <v>34560.673903592397</v>
      </c>
      <c r="O232" s="812" t="s">
        <v>162</v>
      </c>
      <c r="P232" s="813">
        <v>0.28625410918164534</v>
      </c>
      <c r="Q232" s="814">
        <v>35271.156150580784</v>
      </c>
      <c r="R232" s="812" t="s">
        <v>162</v>
      </c>
      <c r="S232" s="813">
        <v>0.22860757071420126</v>
      </c>
      <c r="T232" s="814">
        <v>33492.70595838131</v>
      </c>
      <c r="U232" s="812" t="s">
        <v>162</v>
      </c>
      <c r="V232" s="813">
        <v>0.31312470688592686</v>
      </c>
      <c r="W232" s="814">
        <v>31342.19444829331</v>
      </c>
      <c r="X232" s="812" t="s">
        <v>162</v>
      </c>
      <c r="Y232" s="813">
        <v>0.31390820282891913</v>
      </c>
      <c r="Z232" s="814">
        <v>31189.943384141472</v>
      </c>
      <c r="AA232" s="812" t="s">
        <v>162</v>
      </c>
      <c r="AB232" s="813">
        <v>0.33681648138857972</v>
      </c>
      <c r="AC232" s="814">
        <v>32070.435852158633</v>
      </c>
      <c r="AD232" s="812" t="s">
        <v>162</v>
      </c>
      <c r="AE232" s="813">
        <v>0.34019627643012207</v>
      </c>
      <c r="AF232" s="814">
        <v>32048.360618998948</v>
      </c>
      <c r="AG232" s="812" t="s">
        <v>162</v>
      </c>
      <c r="AH232" s="813">
        <v>0.28505751473321989</v>
      </c>
      <c r="AI232" s="814">
        <v>34733.473772899961</v>
      </c>
      <c r="AJ232" s="812" t="s">
        <v>162</v>
      </c>
      <c r="AK232" s="813">
        <v>0.24987790823006117</v>
      </c>
      <c r="AL232" s="814">
        <v>34648.487935657875</v>
      </c>
      <c r="AM232" s="812" t="s">
        <v>162</v>
      </c>
      <c r="AN232" s="813">
        <v>0.48993795505247306</v>
      </c>
      <c r="AO232" s="814">
        <v>31421.527644416939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25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0.25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0.99013387430811006</v>
      </c>
      <c r="E234" s="823">
        <v>1170014.2433342419</v>
      </c>
      <c r="F234" s="812" t="s">
        <v>108</v>
      </c>
      <c r="G234" s="850">
        <v>1.6164334790861365</v>
      </c>
      <c r="H234" s="823">
        <v>96475.848654052927</v>
      </c>
      <c r="I234" s="812" t="s">
        <v>108</v>
      </c>
      <c r="J234" s="850">
        <v>1.4958850109920956</v>
      </c>
      <c r="K234" s="823">
        <v>89669.724150162569</v>
      </c>
      <c r="L234" s="812" t="s">
        <v>108</v>
      </c>
      <c r="M234" s="850">
        <v>1.2510541043869354</v>
      </c>
      <c r="N234" s="823">
        <v>98584.308385141601</v>
      </c>
      <c r="O234" s="812" t="s">
        <v>108</v>
      </c>
      <c r="P234" s="850">
        <v>0.85697916517003958</v>
      </c>
      <c r="Q234" s="823">
        <v>105593.75388154242</v>
      </c>
      <c r="R234" s="812" t="s">
        <v>108</v>
      </c>
      <c r="S234" s="850">
        <v>0.6741915016648824</v>
      </c>
      <c r="T234" s="823">
        <v>98774.059207037149</v>
      </c>
      <c r="U234" s="812" t="s">
        <v>108</v>
      </c>
      <c r="V234" s="850">
        <v>0.94719131278117552</v>
      </c>
      <c r="W234" s="823">
        <v>94809.04461409038</v>
      </c>
      <c r="X234" s="812" t="s">
        <v>108</v>
      </c>
      <c r="Y234" s="850">
        <v>0.99006375254464041</v>
      </c>
      <c r="Z234" s="823">
        <v>98372.811255867986</v>
      </c>
      <c r="AA234" s="812" t="s">
        <v>108</v>
      </c>
      <c r="AB234" s="850">
        <v>0.98669238012751337</v>
      </c>
      <c r="AC234" s="823">
        <v>93949.246640892146</v>
      </c>
      <c r="AD234" s="812" t="s">
        <v>108</v>
      </c>
      <c r="AE234" s="850">
        <v>1.0018316195012449</v>
      </c>
      <c r="AF234" s="823">
        <v>94378.049513680016</v>
      </c>
      <c r="AG234" s="812" t="s">
        <v>108</v>
      </c>
      <c r="AH234" s="850">
        <v>0.86573406458027213</v>
      </c>
      <c r="AI234" s="823">
        <v>105487.31351477221</v>
      </c>
      <c r="AJ234" s="812" t="s">
        <v>108</v>
      </c>
      <c r="AK234" s="850">
        <v>0.70462765199822219</v>
      </c>
      <c r="AL234" s="823">
        <v>97704.846628191095</v>
      </c>
      <c r="AM234" s="812" t="s">
        <v>108</v>
      </c>
      <c r="AN234" s="850">
        <v>1.5002292994678585</v>
      </c>
      <c r="AO234" s="823">
        <v>96215.236888811502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25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11658.532129408792</v>
      </c>
      <c r="F236" s="851"/>
      <c r="G236" s="852"/>
      <c r="H236" s="832">
        <v>-36791.457120294101</v>
      </c>
      <c r="I236" s="851"/>
      <c r="J236" s="852"/>
      <c r="K236" s="832">
        <v>-29725.461395171711</v>
      </c>
      <c r="L236" s="851"/>
      <c r="M236" s="852"/>
      <c r="N236" s="832">
        <v>-19783.313256756082</v>
      </c>
      <c r="O236" s="851"/>
      <c r="P236" s="852"/>
      <c r="Q236" s="832">
        <v>17622.490075322945</v>
      </c>
      <c r="R236" s="851"/>
      <c r="S236" s="852"/>
      <c r="T236" s="832">
        <v>47733.363332581823</v>
      </c>
      <c r="U236" s="851"/>
      <c r="V236" s="852"/>
      <c r="W236" s="832">
        <v>5285.8816534540529</v>
      </c>
      <c r="X236" s="851"/>
      <c r="Y236" s="852"/>
      <c r="Z236" s="832">
        <v>987.26631795725552</v>
      </c>
      <c r="AA236" s="851"/>
      <c r="AB236" s="852"/>
      <c r="AC236" s="832">
        <v>1267.1029864869488</v>
      </c>
      <c r="AD236" s="851"/>
      <c r="AE236" s="852"/>
      <c r="AF236" s="832">
        <v>-172.54863253844087</v>
      </c>
      <c r="AG236" s="851"/>
      <c r="AH236" s="852"/>
      <c r="AI236" s="832">
        <v>16359.934769162297</v>
      </c>
      <c r="AJ236" s="851"/>
      <c r="AK236" s="852"/>
      <c r="AL236" s="832">
        <v>40956.822909066308</v>
      </c>
      <c r="AM236" s="851"/>
      <c r="AN236" s="852"/>
      <c r="AO236" s="832">
        <v>-32081.549509862365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25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25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25">
      <c r="A239" s="540"/>
      <c r="B239" s="618" t="s">
        <v>2934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" thickTop="1">
      <c r="A241" s="540"/>
      <c r="B241" s="658" t="s">
        <v>293</v>
      </c>
      <c r="C241" s="768">
        <v>2025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25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25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25">
      <c r="A244" s="540" t="str">
        <f t="shared" si="5"/>
        <v>CarrosserieM/O Sous-traitement</v>
      </c>
      <c r="B244" s="550" t="s">
        <v>164</v>
      </c>
      <c r="C244" s="854">
        <v>0</v>
      </c>
      <c r="D244" s="855">
        <v>0</v>
      </c>
      <c r="E244" s="807">
        <v>0</v>
      </c>
      <c r="F244" s="854">
        <v>0</v>
      </c>
      <c r="G244" s="855">
        <v>0</v>
      </c>
      <c r="H244" s="807">
        <v>0</v>
      </c>
      <c r="I244" s="854">
        <v>0</v>
      </c>
      <c r="J244" s="855">
        <v>0</v>
      </c>
      <c r="K244" s="807">
        <v>0</v>
      </c>
      <c r="L244" s="854">
        <v>0</v>
      </c>
      <c r="M244" s="855">
        <v>0</v>
      </c>
      <c r="N244" s="807">
        <v>0</v>
      </c>
      <c r="O244" s="854">
        <v>0</v>
      </c>
      <c r="P244" s="855">
        <v>0</v>
      </c>
      <c r="Q244" s="807">
        <v>0</v>
      </c>
      <c r="R244" s="854">
        <v>0</v>
      </c>
      <c r="S244" s="855">
        <v>0</v>
      </c>
      <c r="T244" s="807">
        <v>0</v>
      </c>
      <c r="U244" s="854">
        <v>0</v>
      </c>
      <c r="V244" s="855">
        <v>0</v>
      </c>
      <c r="W244" s="807">
        <v>0</v>
      </c>
      <c r="X244" s="854">
        <v>0</v>
      </c>
      <c r="Y244" s="855">
        <v>0</v>
      </c>
      <c r="Z244" s="807">
        <v>0</v>
      </c>
      <c r="AA244" s="854">
        <v>0</v>
      </c>
      <c r="AB244" s="855">
        <v>0</v>
      </c>
      <c r="AC244" s="807">
        <v>0</v>
      </c>
      <c r="AD244" s="854">
        <v>0</v>
      </c>
      <c r="AE244" s="855">
        <v>0</v>
      </c>
      <c r="AF244" s="807">
        <v>0</v>
      </c>
      <c r="AG244" s="854">
        <v>0</v>
      </c>
      <c r="AH244" s="855">
        <v>0</v>
      </c>
      <c r="AI244" s="807">
        <v>0</v>
      </c>
      <c r="AJ244" s="854">
        <v>0</v>
      </c>
      <c r="AK244" s="855">
        <v>0</v>
      </c>
      <c r="AL244" s="807">
        <v>0</v>
      </c>
      <c r="AM244" s="854">
        <v>0</v>
      </c>
      <c r="AN244" s="855">
        <v>0</v>
      </c>
      <c r="AO244" s="807">
        <v>0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25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</v>
      </c>
      <c r="F245" s="856"/>
      <c r="G245" s="793"/>
      <c r="H245" s="857">
        <v>0</v>
      </c>
      <c r="I245" s="856"/>
      <c r="J245" s="793"/>
      <c r="K245" s="857">
        <v>0</v>
      </c>
      <c r="L245" s="856"/>
      <c r="M245" s="793"/>
      <c r="N245" s="857">
        <v>0</v>
      </c>
      <c r="O245" s="856"/>
      <c r="P245" s="793"/>
      <c r="Q245" s="857">
        <v>0</v>
      </c>
      <c r="R245" s="856"/>
      <c r="S245" s="793"/>
      <c r="T245" s="857">
        <v>0</v>
      </c>
      <c r="U245" s="856"/>
      <c r="V245" s="793"/>
      <c r="W245" s="857">
        <v>0</v>
      </c>
      <c r="X245" s="856"/>
      <c r="Y245" s="793"/>
      <c r="Z245" s="857">
        <v>0</v>
      </c>
      <c r="AA245" s="856"/>
      <c r="AB245" s="793"/>
      <c r="AC245" s="857">
        <v>0</v>
      </c>
      <c r="AD245" s="856"/>
      <c r="AE245" s="793"/>
      <c r="AF245" s="857">
        <v>0</v>
      </c>
      <c r="AG245" s="856"/>
      <c r="AH245" s="793"/>
      <c r="AI245" s="857">
        <v>0</v>
      </c>
      <c r="AJ245" s="856"/>
      <c r="AK245" s="793"/>
      <c r="AL245" s="857">
        <v>0</v>
      </c>
      <c r="AM245" s="856"/>
      <c r="AN245" s="793"/>
      <c r="AO245" s="857">
        <v>0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25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25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/>
      <c r="G247" s="862"/>
      <c r="H247" s="817"/>
      <c r="I247" s="861"/>
      <c r="J247" s="862"/>
      <c r="K247" s="817"/>
      <c r="L247" s="861"/>
      <c r="M247" s="862"/>
      <c r="N247" s="817"/>
      <c r="O247" s="861"/>
      <c r="P247" s="862"/>
      <c r="Q247" s="817"/>
      <c r="R247" s="861"/>
      <c r="S247" s="862"/>
      <c r="T247" s="817"/>
      <c r="U247" s="861"/>
      <c r="V247" s="862"/>
      <c r="W247" s="817"/>
      <c r="X247" s="861"/>
      <c r="Y247" s="862"/>
      <c r="Z247" s="817"/>
      <c r="AA247" s="861"/>
      <c r="AB247" s="862"/>
      <c r="AC247" s="817"/>
      <c r="AD247" s="861"/>
      <c r="AE247" s="862"/>
      <c r="AF247" s="817"/>
      <c r="AG247" s="861"/>
      <c r="AH247" s="862"/>
      <c r="AI247" s="817"/>
      <c r="AJ247" s="861"/>
      <c r="AK247" s="862"/>
      <c r="AL247" s="817"/>
      <c r="AM247" s="861"/>
      <c r="AN247" s="862"/>
      <c r="AO247" s="817"/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25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25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25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/>
      <c r="G250" s="862"/>
      <c r="H250" s="817"/>
      <c r="I250" s="861"/>
      <c r="J250" s="862"/>
      <c r="K250" s="817"/>
      <c r="L250" s="861"/>
      <c r="M250" s="862"/>
      <c r="N250" s="817"/>
      <c r="O250" s="861"/>
      <c r="P250" s="862"/>
      <c r="Q250" s="817"/>
      <c r="R250" s="861"/>
      <c r="S250" s="862"/>
      <c r="T250" s="817"/>
      <c r="U250" s="861"/>
      <c r="V250" s="862"/>
      <c r="W250" s="817"/>
      <c r="X250" s="861"/>
      <c r="Y250" s="862"/>
      <c r="Z250" s="817"/>
      <c r="AA250" s="861"/>
      <c r="AB250" s="862"/>
      <c r="AC250" s="817"/>
      <c r="AD250" s="861"/>
      <c r="AE250" s="862"/>
      <c r="AF250" s="817"/>
      <c r="AG250" s="861"/>
      <c r="AH250" s="862"/>
      <c r="AI250" s="817"/>
      <c r="AJ250" s="861"/>
      <c r="AK250" s="862"/>
      <c r="AL250" s="817"/>
      <c r="AM250" s="861"/>
      <c r="AN250" s="862"/>
      <c r="AO250" s="817"/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25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" thickTop="1">
      <c r="A253" s="540" t="str">
        <f t="shared" si="5"/>
        <v>CarrosserieTotal Mécanique</v>
      </c>
      <c r="B253" s="606" t="s">
        <v>161</v>
      </c>
      <c r="C253" s="795"/>
      <c r="D253" s="882">
        <v>0</v>
      </c>
      <c r="E253" s="797">
        <v>0</v>
      </c>
      <c r="F253" s="795"/>
      <c r="G253" s="882">
        <v>0</v>
      </c>
      <c r="H253" s="797">
        <v>0</v>
      </c>
      <c r="I253" s="795"/>
      <c r="J253" s="882">
        <v>0</v>
      </c>
      <c r="K253" s="797">
        <v>0</v>
      </c>
      <c r="L253" s="795"/>
      <c r="M253" s="882">
        <v>0</v>
      </c>
      <c r="N253" s="797">
        <v>0</v>
      </c>
      <c r="O253" s="795"/>
      <c r="P253" s="882">
        <v>0</v>
      </c>
      <c r="Q253" s="797">
        <v>0</v>
      </c>
      <c r="R253" s="795"/>
      <c r="S253" s="882">
        <v>0</v>
      </c>
      <c r="T253" s="797">
        <v>0</v>
      </c>
      <c r="U253" s="795"/>
      <c r="V253" s="882">
        <v>0</v>
      </c>
      <c r="W253" s="797">
        <v>0</v>
      </c>
      <c r="X253" s="795"/>
      <c r="Y253" s="882">
        <v>0</v>
      </c>
      <c r="Z253" s="797">
        <v>0</v>
      </c>
      <c r="AA253" s="795"/>
      <c r="AB253" s="882">
        <v>0</v>
      </c>
      <c r="AC253" s="797">
        <v>0</v>
      </c>
      <c r="AD253" s="795"/>
      <c r="AE253" s="882">
        <v>0</v>
      </c>
      <c r="AF253" s="797">
        <v>0</v>
      </c>
      <c r="AG253" s="795"/>
      <c r="AH253" s="882">
        <v>0</v>
      </c>
      <c r="AI253" s="797">
        <v>0</v>
      </c>
      <c r="AJ253" s="795"/>
      <c r="AK253" s="882">
        <v>0</v>
      </c>
      <c r="AL253" s="797">
        <v>0</v>
      </c>
      <c r="AM253" s="795"/>
      <c r="AN253" s="882">
        <v>0</v>
      </c>
      <c r="AO253" s="797">
        <v>0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" thickBot="1">
      <c r="A254" s="540" t="str">
        <f t="shared" si="5"/>
        <v>Carrosserie</v>
      </c>
      <c r="B254" s="607"/>
      <c r="C254" s="798"/>
      <c r="D254" s="799"/>
      <c r="E254" s="883">
        <v>0</v>
      </c>
      <c r="F254" s="798"/>
      <c r="G254" s="799"/>
      <c r="H254" s="883">
        <v>0</v>
      </c>
      <c r="I254" s="798"/>
      <c r="J254" s="799"/>
      <c r="K254" s="883">
        <v>0</v>
      </c>
      <c r="L254" s="798"/>
      <c r="M254" s="799"/>
      <c r="N254" s="883">
        <v>0</v>
      </c>
      <c r="O254" s="798"/>
      <c r="P254" s="799"/>
      <c r="Q254" s="883">
        <v>0</v>
      </c>
      <c r="R254" s="798"/>
      <c r="S254" s="799"/>
      <c r="T254" s="883">
        <v>0</v>
      </c>
      <c r="U254" s="798"/>
      <c r="V254" s="799"/>
      <c r="W254" s="883">
        <v>0</v>
      </c>
      <c r="X254" s="798"/>
      <c r="Y254" s="799"/>
      <c r="Z254" s="883">
        <v>0</v>
      </c>
      <c r="AA254" s="798"/>
      <c r="AB254" s="799"/>
      <c r="AC254" s="883">
        <v>0</v>
      </c>
      <c r="AD254" s="798"/>
      <c r="AE254" s="799"/>
      <c r="AF254" s="883">
        <v>0</v>
      </c>
      <c r="AG254" s="798"/>
      <c r="AH254" s="799"/>
      <c r="AI254" s="883">
        <v>0</v>
      </c>
      <c r="AJ254" s="798"/>
      <c r="AK254" s="799"/>
      <c r="AL254" s="883">
        <v>0</v>
      </c>
      <c r="AM254" s="798"/>
      <c r="AN254" s="799"/>
      <c r="AO254" s="883">
        <v>0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0.25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25">
      <c r="A257" s="540" t="str">
        <f t="shared" si="5"/>
        <v>CarrosserieSalaires cadres</v>
      </c>
      <c r="B257" s="626" t="s">
        <v>109</v>
      </c>
      <c r="C257" s="785"/>
      <c r="D257" s="793"/>
      <c r="E257" s="807">
        <v>0</v>
      </c>
      <c r="F257" s="785"/>
      <c r="G257" s="793"/>
      <c r="H257" s="807">
        <v>0</v>
      </c>
      <c r="I257" s="785"/>
      <c r="J257" s="793"/>
      <c r="K257" s="807">
        <v>0</v>
      </c>
      <c r="L257" s="785"/>
      <c r="M257" s="793"/>
      <c r="N257" s="807">
        <v>0</v>
      </c>
      <c r="O257" s="785"/>
      <c r="P257" s="793"/>
      <c r="Q257" s="807">
        <v>0</v>
      </c>
      <c r="R257" s="785"/>
      <c r="S257" s="793"/>
      <c r="T257" s="807">
        <v>0</v>
      </c>
      <c r="U257" s="785"/>
      <c r="V257" s="793"/>
      <c r="W257" s="807">
        <v>0</v>
      </c>
      <c r="X257" s="785"/>
      <c r="Y257" s="793"/>
      <c r="Z257" s="807">
        <v>0</v>
      </c>
      <c r="AA257" s="785"/>
      <c r="AB257" s="793"/>
      <c r="AC257" s="807">
        <v>0</v>
      </c>
      <c r="AD257" s="785"/>
      <c r="AE257" s="793"/>
      <c r="AF257" s="807">
        <v>0</v>
      </c>
      <c r="AG257" s="785"/>
      <c r="AH257" s="793"/>
      <c r="AI257" s="807">
        <v>0</v>
      </c>
      <c r="AJ257" s="785"/>
      <c r="AK257" s="793"/>
      <c r="AL257" s="807">
        <v>0</v>
      </c>
      <c r="AM257" s="785"/>
      <c r="AN257" s="793"/>
      <c r="AO257" s="807">
        <v>0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25">
      <c r="A258" s="540" t="str">
        <f t="shared" si="5"/>
        <v>CarrosserieSalaires commis</v>
      </c>
      <c r="B258" s="629" t="s">
        <v>110</v>
      </c>
      <c r="C258" s="785"/>
      <c r="D258" s="793"/>
      <c r="E258" s="807">
        <v>0</v>
      </c>
      <c r="F258" s="785"/>
      <c r="G258" s="793"/>
      <c r="H258" s="807">
        <v>0</v>
      </c>
      <c r="I258" s="785"/>
      <c r="J258" s="793"/>
      <c r="K258" s="807">
        <v>0</v>
      </c>
      <c r="L258" s="785"/>
      <c r="M258" s="793"/>
      <c r="N258" s="807">
        <v>0</v>
      </c>
      <c r="O258" s="785"/>
      <c r="P258" s="793"/>
      <c r="Q258" s="807">
        <v>0</v>
      </c>
      <c r="R258" s="785"/>
      <c r="S258" s="793"/>
      <c r="T258" s="807">
        <v>0</v>
      </c>
      <c r="U258" s="785"/>
      <c r="V258" s="793"/>
      <c r="W258" s="807">
        <v>0</v>
      </c>
      <c r="X258" s="785"/>
      <c r="Y258" s="793"/>
      <c r="Z258" s="807">
        <v>0</v>
      </c>
      <c r="AA258" s="785"/>
      <c r="AB258" s="793"/>
      <c r="AC258" s="807">
        <v>0</v>
      </c>
      <c r="AD258" s="785"/>
      <c r="AE258" s="793"/>
      <c r="AF258" s="807">
        <v>0</v>
      </c>
      <c r="AG258" s="785"/>
      <c r="AH258" s="793"/>
      <c r="AI258" s="807">
        <v>0</v>
      </c>
      <c r="AJ258" s="785"/>
      <c r="AK258" s="793"/>
      <c r="AL258" s="807">
        <v>0</v>
      </c>
      <c r="AM258" s="785"/>
      <c r="AN258" s="793"/>
      <c r="AO258" s="807">
        <v>0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25">
      <c r="A259" s="540" t="str">
        <f t="shared" si="5"/>
        <v>CarrosserieSalaires autres</v>
      </c>
      <c r="B259" s="626" t="s">
        <v>111</v>
      </c>
      <c r="C259" s="815"/>
      <c r="D259" s="816"/>
      <c r="E259" s="817">
        <v>0</v>
      </c>
      <c r="F259" s="815"/>
      <c r="G259" s="816"/>
      <c r="H259" s="817">
        <v>0</v>
      </c>
      <c r="I259" s="815"/>
      <c r="J259" s="816"/>
      <c r="K259" s="817">
        <v>0</v>
      </c>
      <c r="L259" s="815"/>
      <c r="M259" s="816"/>
      <c r="N259" s="817">
        <v>0</v>
      </c>
      <c r="O259" s="815"/>
      <c r="P259" s="816"/>
      <c r="Q259" s="817">
        <v>0</v>
      </c>
      <c r="R259" s="815"/>
      <c r="S259" s="816"/>
      <c r="T259" s="817">
        <v>0</v>
      </c>
      <c r="U259" s="815"/>
      <c r="V259" s="816"/>
      <c r="W259" s="817">
        <v>0</v>
      </c>
      <c r="X259" s="815"/>
      <c r="Y259" s="816"/>
      <c r="Z259" s="817">
        <v>0</v>
      </c>
      <c r="AA259" s="815"/>
      <c r="AB259" s="816"/>
      <c r="AC259" s="817">
        <v>0</v>
      </c>
      <c r="AD259" s="815"/>
      <c r="AE259" s="816"/>
      <c r="AF259" s="817">
        <v>0</v>
      </c>
      <c r="AG259" s="815"/>
      <c r="AH259" s="816"/>
      <c r="AI259" s="817">
        <v>0</v>
      </c>
      <c r="AJ259" s="815"/>
      <c r="AK259" s="816"/>
      <c r="AL259" s="817">
        <v>0</v>
      </c>
      <c r="AM259" s="815"/>
      <c r="AN259" s="816"/>
      <c r="AO259" s="817">
        <v>0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25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>
        <v>0</v>
      </c>
      <c r="I261" s="785"/>
      <c r="J261" s="793"/>
      <c r="K261" s="807">
        <v>0</v>
      </c>
      <c r="L261" s="785"/>
      <c r="M261" s="793"/>
      <c r="N261" s="807">
        <v>0</v>
      </c>
      <c r="O261" s="785"/>
      <c r="P261" s="793"/>
      <c r="Q261" s="807">
        <v>0</v>
      </c>
      <c r="R261" s="785"/>
      <c r="S261" s="793"/>
      <c r="T261" s="807">
        <v>0</v>
      </c>
      <c r="U261" s="785"/>
      <c r="V261" s="793"/>
      <c r="W261" s="807">
        <v>0</v>
      </c>
      <c r="X261" s="785"/>
      <c r="Y261" s="793"/>
      <c r="Z261" s="807">
        <v>0</v>
      </c>
      <c r="AA261" s="785"/>
      <c r="AB261" s="793"/>
      <c r="AC261" s="807">
        <v>0</v>
      </c>
      <c r="AD261" s="785"/>
      <c r="AE261" s="793"/>
      <c r="AF261" s="807">
        <v>0</v>
      </c>
      <c r="AG261" s="785"/>
      <c r="AH261" s="793"/>
      <c r="AI261" s="807">
        <v>0</v>
      </c>
      <c r="AJ261" s="785"/>
      <c r="AK261" s="793"/>
      <c r="AL261" s="807">
        <v>0</v>
      </c>
      <c r="AM261" s="785"/>
      <c r="AN261" s="793"/>
      <c r="AO261" s="807">
        <v>0</v>
      </c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25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0</v>
      </c>
      <c r="F264" s="785"/>
      <c r="G264" s="793"/>
      <c r="H264" s="807">
        <v>0</v>
      </c>
      <c r="I264" s="785"/>
      <c r="J264" s="793"/>
      <c r="K264" s="807">
        <v>0</v>
      </c>
      <c r="L264" s="785"/>
      <c r="M264" s="793"/>
      <c r="N264" s="807">
        <v>0</v>
      </c>
      <c r="O264" s="785"/>
      <c r="P264" s="793"/>
      <c r="Q264" s="807">
        <v>0</v>
      </c>
      <c r="R264" s="785"/>
      <c r="S264" s="793"/>
      <c r="T264" s="807">
        <v>0</v>
      </c>
      <c r="U264" s="785"/>
      <c r="V264" s="793"/>
      <c r="W264" s="807">
        <v>0</v>
      </c>
      <c r="X264" s="785"/>
      <c r="Y264" s="793"/>
      <c r="Z264" s="807">
        <v>0</v>
      </c>
      <c r="AA264" s="785"/>
      <c r="AB264" s="793"/>
      <c r="AC264" s="807">
        <v>0</v>
      </c>
      <c r="AD264" s="785"/>
      <c r="AE264" s="793"/>
      <c r="AF264" s="807">
        <v>0</v>
      </c>
      <c r="AG264" s="785"/>
      <c r="AH264" s="793"/>
      <c r="AI264" s="807">
        <v>0</v>
      </c>
      <c r="AJ264" s="785"/>
      <c r="AK264" s="793"/>
      <c r="AL264" s="807">
        <v>0</v>
      </c>
      <c r="AM264" s="785"/>
      <c r="AN264" s="793"/>
      <c r="AO264" s="807">
        <v>0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25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0</v>
      </c>
      <c r="F265" s="815"/>
      <c r="G265" s="816"/>
      <c r="H265" s="817">
        <v>0</v>
      </c>
      <c r="I265" s="815"/>
      <c r="J265" s="816"/>
      <c r="K265" s="817">
        <v>0</v>
      </c>
      <c r="L265" s="815"/>
      <c r="M265" s="816"/>
      <c r="N265" s="817">
        <v>0</v>
      </c>
      <c r="O265" s="815"/>
      <c r="P265" s="816"/>
      <c r="Q265" s="817">
        <v>0</v>
      </c>
      <c r="R265" s="815"/>
      <c r="S265" s="816"/>
      <c r="T265" s="817">
        <v>0</v>
      </c>
      <c r="U265" s="815"/>
      <c r="V265" s="816"/>
      <c r="W265" s="817">
        <v>0</v>
      </c>
      <c r="X265" s="815"/>
      <c r="Y265" s="816"/>
      <c r="Z265" s="817">
        <v>0</v>
      </c>
      <c r="AA265" s="815"/>
      <c r="AB265" s="816"/>
      <c r="AC265" s="817">
        <v>0</v>
      </c>
      <c r="AD265" s="815"/>
      <c r="AE265" s="816"/>
      <c r="AF265" s="817">
        <v>0</v>
      </c>
      <c r="AG265" s="815"/>
      <c r="AH265" s="816"/>
      <c r="AI265" s="817">
        <v>0</v>
      </c>
      <c r="AJ265" s="815"/>
      <c r="AK265" s="816"/>
      <c r="AL265" s="817">
        <v>0</v>
      </c>
      <c r="AM265" s="815"/>
      <c r="AN265" s="816"/>
      <c r="AO265" s="817">
        <v>0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25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0</v>
      </c>
      <c r="F266" s="785"/>
      <c r="G266" s="793"/>
      <c r="H266" s="807">
        <v>0</v>
      </c>
      <c r="I266" s="785"/>
      <c r="J266" s="793"/>
      <c r="K266" s="807">
        <v>0</v>
      </c>
      <c r="L266" s="785"/>
      <c r="M266" s="793"/>
      <c r="N266" s="807">
        <v>0</v>
      </c>
      <c r="O266" s="785"/>
      <c r="P266" s="793"/>
      <c r="Q266" s="807">
        <v>0</v>
      </c>
      <c r="R266" s="785"/>
      <c r="S266" s="793"/>
      <c r="T266" s="807">
        <v>0</v>
      </c>
      <c r="U266" s="785"/>
      <c r="V266" s="793"/>
      <c r="W266" s="807">
        <v>0</v>
      </c>
      <c r="X266" s="785"/>
      <c r="Y266" s="793"/>
      <c r="Z266" s="807">
        <v>0</v>
      </c>
      <c r="AA266" s="785"/>
      <c r="AB266" s="793"/>
      <c r="AC266" s="807">
        <v>0</v>
      </c>
      <c r="AD266" s="785"/>
      <c r="AE266" s="793"/>
      <c r="AF266" s="807">
        <v>0</v>
      </c>
      <c r="AG266" s="785"/>
      <c r="AH266" s="793"/>
      <c r="AI266" s="807">
        <v>0</v>
      </c>
      <c r="AJ266" s="785"/>
      <c r="AK266" s="793"/>
      <c r="AL266" s="807">
        <v>0</v>
      </c>
      <c r="AM266" s="785"/>
      <c r="AN266" s="793"/>
      <c r="AO266" s="807">
        <v>0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25">
      <c r="A267" s="540" t="str">
        <f t="shared" si="5"/>
        <v>CarrosserieCsst</v>
      </c>
      <c r="B267" s="626" t="s">
        <v>116</v>
      </c>
      <c r="C267" s="785"/>
      <c r="D267" s="793"/>
      <c r="E267" s="807">
        <v>0</v>
      </c>
      <c r="F267" s="785"/>
      <c r="G267" s="793"/>
      <c r="H267" s="807">
        <v>0</v>
      </c>
      <c r="I267" s="785"/>
      <c r="J267" s="793"/>
      <c r="K267" s="807">
        <v>0</v>
      </c>
      <c r="L267" s="785"/>
      <c r="M267" s="793"/>
      <c r="N267" s="807">
        <v>0</v>
      </c>
      <c r="O267" s="785"/>
      <c r="P267" s="793"/>
      <c r="Q267" s="807">
        <v>0</v>
      </c>
      <c r="R267" s="785"/>
      <c r="S267" s="793"/>
      <c r="T267" s="807">
        <v>0</v>
      </c>
      <c r="U267" s="785"/>
      <c r="V267" s="793"/>
      <c r="W267" s="807">
        <v>0</v>
      </c>
      <c r="X267" s="785"/>
      <c r="Y267" s="793"/>
      <c r="Z267" s="807">
        <v>0</v>
      </c>
      <c r="AA267" s="785"/>
      <c r="AB267" s="793"/>
      <c r="AC267" s="807">
        <v>0</v>
      </c>
      <c r="AD267" s="785"/>
      <c r="AE267" s="793"/>
      <c r="AF267" s="807">
        <v>0</v>
      </c>
      <c r="AG267" s="785"/>
      <c r="AH267" s="793"/>
      <c r="AI267" s="807">
        <v>0</v>
      </c>
      <c r="AJ267" s="785"/>
      <c r="AK267" s="793"/>
      <c r="AL267" s="807">
        <v>0</v>
      </c>
      <c r="AM267" s="785"/>
      <c r="AN267" s="793"/>
      <c r="AO267" s="807">
        <v>0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0.25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0</v>
      </c>
      <c r="F269" s="812" t="s">
        <v>108</v>
      </c>
      <c r="G269" s="813">
        <v>0</v>
      </c>
      <c r="H269" s="814">
        <v>0</v>
      </c>
      <c r="I269" s="812" t="s">
        <v>108</v>
      </c>
      <c r="J269" s="813">
        <v>0</v>
      </c>
      <c r="K269" s="814">
        <v>0</v>
      </c>
      <c r="L269" s="812" t="s">
        <v>108</v>
      </c>
      <c r="M269" s="813">
        <v>0</v>
      </c>
      <c r="N269" s="814">
        <v>0</v>
      </c>
      <c r="O269" s="812" t="s">
        <v>108</v>
      </c>
      <c r="P269" s="813">
        <v>0</v>
      </c>
      <c r="Q269" s="814">
        <v>0</v>
      </c>
      <c r="R269" s="812" t="s">
        <v>108</v>
      </c>
      <c r="S269" s="813">
        <v>0</v>
      </c>
      <c r="T269" s="814">
        <v>0</v>
      </c>
      <c r="U269" s="812" t="s">
        <v>108</v>
      </c>
      <c r="V269" s="813">
        <v>0</v>
      </c>
      <c r="W269" s="814">
        <v>0</v>
      </c>
      <c r="X269" s="812" t="s">
        <v>108</v>
      </c>
      <c r="Y269" s="813">
        <v>0</v>
      </c>
      <c r="Z269" s="814">
        <v>0</v>
      </c>
      <c r="AA269" s="812" t="s">
        <v>108</v>
      </c>
      <c r="AB269" s="813">
        <v>0</v>
      </c>
      <c r="AC269" s="814">
        <v>0</v>
      </c>
      <c r="AD269" s="812" t="s">
        <v>108</v>
      </c>
      <c r="AE269" s="813">
        <v>0</v>
      </c>
      <c r="AF269" s="814">
        <v>0</v>
      </c>
      <c r="AG269" s="812" t="s">
        <v>108</v>
      </c>
      <c r="AH269" s="813">
        <v>0</v>
      </c>
      <c r="AI269" s="814">
        <v>0</v>
      </c>
      <c r="AJ269" s="812" t="s">
        <v>108</v>
      </c>
      <c r="AK269" s="813">
        <v>0</v>
      </c>
      <c r="AL269" s="814">
        <v>0</v>
      </c>
      <c r="AM269" s="812" t="s">
        <v>108</v>
      </c>
      <c r="AN269" s="813">
        <v>0</v>
      </c>
      <c r="AO269" s="814">
        <v>0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25">
      <c r="A270" s="540" t="str">
        <f t="shared" si="5"/>
        <v>CarrosseriePublicité 2</v>
      </c>
      <c r="B270" s="631" t="s">
        <v>118</v>
      </c>
      <c r="C270" s="785"/>
      <c r="D270" s="793"/>
      <c r="E270" s="807">
        <v>0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0</v>
      </c>
      <c r="O270" s="785"/>
      <c r="P270" s="793"/>
      <c r="Q270" s="807">
        <v>0</v>
      </c>
      <c r="R270" s="785"/>
      <c r="S270" s="793"/>
      <c r="T270" s="807">
        <v>0</v>
      </c>
      <c r="U270" s="785"/>
      <c r="V270" s="793"/>
      <c r="W270" s="807">
        <v>0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0</v>
      </c>
      <c r="AG270" s="785"/>
      <c r="AH270" s="793"/>
      <c r="AI270" s="807">
        <v>0</v>
      </c>
      <c r="AJ270" s="785"/>
      <c r="AK270" s="793"/>
      <c r="AL270" s="807">
        <v>0</v>
      </c>
      <c r="AM270" s="785"/>
      <c r="AN270" s="793"/>
      <c r="AO270" s="807">
        <v>0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25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0</v>
      </c>
      <c r="F271" s="785"/>
      <c r="G271" s="793"/>
      <c r="H271" s="807">
        <v>0</v>
      </c>
      <c r="I271" s="785"/>
      <c r="J271" s="793"/>
      <c r="K271" s="807">
        <v>0</v>
      </c>
      <c r="L271" s="785"/>
      <c r="M271" s="793"/>
      <c r="N271" s="807">
        <v>0</v>
      </c>
      <c r="O271" s="785"/>
      <c r="P271" s="793"/>
      <c r="Q271" s="807">
        <v>0</v>
      </c>
      <c r="R271" s="785"/>
      <c r="S271" s="793"/>
      <c r="T271" s="807">
        <v>0</v>
      </c>
      <c r="U271" s="785"/>
      <c r="V271" s="793"/>
      <c r="W271" s="807">
        <v>0</v>
      </c>
      <c r="X271" s="785"/>
      <c r="Y271" s="793"/>
      <c r="Z271" s="807">
        <v>0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0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25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0</v>
      </c>
      <c r="F272" s="811"/>
      <c r="G272" s="818"/>
      <c r="H272" s="810">
        <v>0</v>
      </c>
      <c r="I272" s="811"/>
      <c r="J272" s="818"/>
      <c r="K272" s="810">
        <v>0</v>
      </c>
      <c r="L272" s="811"/>
      <c r="M272" s="818"/>
      <c r="N272" s="810">
        <v>0</v>
      </c>
      <c r="O272" s="811"/>
      <c r="P272" s="818"/>
      <c r="Q272" s="810">
        <v>0</v>
      </c>
      <c r="R272" s="811"/>
      <c r="S272" s="818"/>
      <c r="T272" s="810">
        <v>0</v>
      </c>
      <c r="U272" s="811"/>
      <c r="V272" s="818"/>
      <c r="W272" s="810">
        <v>0</v>
      </c>
      <c r="X272" s="811"/>
      <c r="Y272" s="818"/>
      <c r="Z272" s="810">
        <v>0</v>
      </c>
      <c r="AA272" s="811"/>
      <c r="AB272" s="818"/>
      <c r="AC272" s="810">
        <v>0</v>
      </c>
      <c r="AD272" s="811"/>
      <c r="AE272" s="818"/>
      <c r="AF272" s="810">
        <v>0</v>
      </c>
      <c r="AG272" s="811"/>
      <c r="AH272" s="818"/>
      <c r="AI272" s="810">
        <v>0</v>
      </c>
      <c r="AJ272" s="811"/>
      <c r="AK272" s="818"/>
      <c r="AL272" s="810">
        <v>0</v>
      </c>
      <c r="AM272" s="811"/>
      <c r="AN272" s="818"/>
      <c r="AO272" s="810">
        <v>0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25">
      <c r="A273" s="540" t="str">
        <f t="shared" si="5"/>
        <v>CarrosserieInformatique</v>
      </c>
      <c r="B273" s="626" t="s">
        <v>121</v>
      </c>
      <c r="C273" s="785"/>
      <c r="D273" s="793"/>
      <c r="E273" s="807">
        <v>0</v>
      </c>
      <c r="F273" s="785"/>
      <c r="G273" s="793"/>
      <c r="H273" s="807">
        <v>0</v>
      </c>
      <c r="I273" s="785"/>
      <c r="J273" s="793"/>
      <c r="K273" s="807">
        <v>0</v>
      </c>
      <c r="L273" s="785"/>
      <c r="M273" s="793"/>
      <c r="N273" s="807">
        <v>0</v>
      </c>
      <c r="O273" s="785"/>
      <c r="P273" s="793"/>
      <c r="Q273" s="807">
        <v>0</v>
      </c>
      <c r="R273" s="785"/>
      <c r="S273" s="793"/>
      <c r="T273" s="807">
        <v>0</v>
      </c>
      <c r="U273" s="785"/>
      <c r="V273" s="793"/>
      <c r="W273" s="807">
        <v>0</v>
      </c>
      <c r="X273" s="785"/>
      <c r="Y273" s="793"/>
      <c r="Z273" s="807">
        <v>0</v>
      </c>
      <c r="AA273" s="785"/>
      <c r="AB273" s="793"/>
      <c r="AC273" s="807">
        <v>0</v>
      </c>
      <c r="AD273" s="785"/>
      <c r="AE273" s="793"/>
      <c r="AF273" s="807">
        <v>0</v>
      </c>
      <c r="AG273" s="785"/>
      <c r="AH273" s="793"/>
      <c r="AI273" s="807">
        <v>0</v>
      </c>
      <c r="AJ273" s="785"/>
      <c r="AK273" s="793"/>
      <c r="AL273" s="807">
        <v>0</v>
      </c>
      <c r="AM273" s="785"/>
      <c r="AN273" s="793"/>
      <c r="AO273" s="807">
        <v>0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25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0</v>
      </c>
      <c r="F274" s="785"/>
      <c r="G274" s="793"/>
      <c r="H274" s="807">
        <v>0</v>
      </c>
      <c r="I274" s="785"/>
      <c r="J274" s="793"/>
      <c r="K274" s="807">
        <v>0</v>
      </c>
      <c r="L274" s="785"/>
      <c r="M274" s="793"/>
      <c r="N274" s="807">
        <v>0</v>
      </c>
      <c r="O274" s="785"/>
      <c r="P274" s="793"/>
      <c r="Q274" s="807">
        <v>0</v>
      </c>
      <c r="R274" s="785"/>
      <c r="S274" s="793"/>
      <c r="T274" s="807">
        <v>0</v>
      </c>
      <c r="U274" s="785"/>
      <c r="V274" s="793"/>
      <c r="W274" s="807">
        <v>0</v>
      </c>
      <c r="X274" s="785"/>
      <c r="Y274" s="793"/>
      <c r="Z274" s="807">
        <v>0</v>
      </c>
      <c r="AA274" s="785"/>
      <c r="AB274" s="793"/>
      <c r="AC274" s="807">
        <v>0</v>
      </c>
      <c r="AD274" s="785"/>
      <c r="AE274" s="793"/>
      <c r="AF274" s="807">
        <v>0</v>
      </c>
      <c r="AG274" s="785"/>
      <c r="AH274" s="793"/>
      <c r="AI274" s="807">
        <v>0</v>
      </c>
      <c r="AJ274" s="785"/>
      <c r="AK274" s="793"/>
      <c r="AL274" s="807">
        <v>0</v>
      </c>
      <c r="AM274" s="785"/>
      <c r="AN274" s="793"/>
      <c r="AO274" s="807">
        <v>0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25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0</v>
      </c>
      <c r="F275" s="811"/>
      <c r="G275" s="818"/>
      <c r="H275" s="810">
        <v>0</v>
      </c>
      <c r="I275" s="811"/>
      <c r="J275" s="818"/>
      <c r="K275" s="810">
        <v>0</v>
      </c>
      <c r="L275" s="811"/>
      <c r="M275" s="818"/>
      <c r="N275" s="810">
        <v>0</v>
      </c>
      <c r="O275" s="811"/>
      <c r="P275" s="818"/>
      <c r="Q275" s="810">
        <v>0</v>
      </c>
      <c r="R275" s="811"/>
      <c r="S275" s="818"/>
      <c r="T275" s="810">
        <v>0</v>
      </c>
      <c r="U275" s="811"/>
      <c r="V275" s="818"/>
      <c r="W275" s="810">
        <v>0</v>
      </c>
      <c r="X275" s="811"/>
      <c r="Y275" s="818"/>
      <c r="Z275" s="810">
        <v>0</v>
      </c>
      <c r="AA275" s="811"/>
      <c r="AB275" s="818"/>
      <c r="AC275" s="810">
        <v>0</v>
      </c>
      <c r="AD275" s="811"/>
      <c r="AE275" s="818"/>
      <c r="AF275" s="810">
        <v>0</v>
      </c>
      <c r="AG275" s="811"/>
      <c r="AH275" s="818"/>
      <c r="AI275" s="810">
        <v>0</v>
      </c>
      <c r="AJ275" s="811"/>
      <c r="AK275" s="818"/>
      <c r="AL275" s="810">
        <v>0</v>
      </c>
      <c r="AM275" s="811"/>
      <c r="AN275" s="818"/>
      <c r="AO275" s="810">
        <v>0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25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25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0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</v>
      </c>
      <c r="AJ277" s="785"/>
      <c r="AK277" s="793"/>
      <c r="AL277" s="807">
        <v>0</v>
      </c>
      <c r="AM277" s="785"/>
      <c r="AN277" s="793"/>
      <c r="AO277" s="807">
        <v>0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25">
      <c r="A278" s="540" t="str">
        <f t="shared" si="5"/>
        <v>CarrosserieUniformes</v>
      </c>
      <c r="B278" s="626" t="s">
        <v>125</v>
      </c>
      <c r="C278" s="785"/>
      <c r="D278" s="793"/>
      <c r="E278" s="807">
        <v>0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0</v>
      </c>
      <c r="X278" s="785"/>
      <c r="Y278" s="793"/>
      <c r="Z278" s="807">
        <v>0</v>
      </c>
      <c r="AA278" s="785"/>
      <c r="AB278" s="793"/>
      <c r="AC278" s="807">
        <v>0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25">
      <c r="A279" s="540" t="str">
        <f t="shared" si="5"/>
        <v>CarrosseriePapeterie</v>
      </c>
      <c r="B279" s="626" t="s">
        <v>126</v>
      </c>
      <c r="C279" s="785"/>
      <c r="D279" s="793"/>
      <c r="E279" s="807">
        <v>0</v>
      </c>
      <c r="F279" s="785"/>
      <c r="G279" s="793"/>
      <c r="H279" s="807">
        <v>0</v>
      </c>
      <c r="I279" s="785"/>
      <c r="J279" s="793"/>
      <c r="K279" s="807">
        <v>0</v>
      </c>
      <c r="L279" s="785"/>
      <c r="M279" s="793"/>
      <c r="N279" s="807">
        <v>0</v>
      </c>
      <c r="O279" s="785"/>
      <c r="P279" s="793"/>
      <c r="Q279" s="807">
        <v>0</v>
      </c>
      <c r="R279" s="785"/>
      <c r="S279" s="793"/>
      <c r="T279" s="807">
        <v>0</v>
      </c>
      <c r="U279" s="785"/>
      <c r="V279" s="793"/>
      <c r="W279" s="807">
        <v>0</v>
      </c>
      <c r="X279" s="785"/>
      <c r="Y279" s="793"/>
      <c r="Z279" s="807">
        <v>0</v>
      </c>
      <c r="AA279" s="785"/>
      <c r="AB279" s="793"/>
      <c r="AC279" s="807">
        <v>0</v>
      </c>
      <c r="AD279" s="785"/>
      <c r="AE279" s="793"/>
      <c r="AF279" s="807">
        <v>0</v>
      </c>
      <c r="AG279" s="785"/>
      <c r="AH279" s="793"/>
      <c r="AI279" s="807">
        <v>0</v>
      </c>
      <c r="AJ279" s="785"/>
      <c r="AK279" s="793"/>
      <c r="AL279" s="807">
        <v>0</v>
      </c>
      <c r="AM279" s="785"/>
      <c r="AN279" s="793"/>
      <c r="AO279" s="807">
        <v>0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25">
      <c r="A280" s="540" t="str">
        <f t="shared" si="5"/>
        <v>CarrosserieTéléphone</v>
      </c>
      <c r="B280" s="626" t="s">
        <v>127</v>
      </c>
      <c r="C280" s="785"/>
      <c r="D280" s="793"/>
      <c r="E280" s="807">
        <v>0</v>
      </c>
      <c r="F280" s="785"/>
      <c r="G280" s="793"/>
      <c r="H280" s="807">
        <v>0</v>
      </c>
      <c r="I280" s="785"/>
      <c r="J280" s="793"/>
      <c r="K280" s="807">
        <v>0</v>
      </c>
      <c r="L280" s="785"/>
      <c r="M280" s="793"/>
      <c r="N280" s="807">
        <v>0</v>
      </c>
      <c r="O280" s="785"/>
      <c r="P280" s="793"/>
      <c r="Q280" s="807">
        <v>0</v>
      </c>
      <c r="R280" s="785"/>
      <c r="S280" s="793"/>
      <c r="T280" s="807">
        <v>0</v>
      </c>
      <c r="U280" s="785"/>
      <c r="V280" s="793"/>
      <c r="W280" s="807">
        <v>0</v>
      </c>
      <c r="X280" s="785"/>
      <c r="Y280" s="793"/>
      <c r="Z280" s="807">
        <v>0</v>
      </c>
      <c r="AA280" s="785"/>
      <c r="AB280" s="793"/>
      <c r="AC280" s="807">
        <v>0</v>
      </c>
      <c r="AD280" s="785"/>
      <c r="AE280" s="793"/>
      <c r="AF280" s="807">
        <v>0</v>
      </c>
      <c r="AG280" s="785"/>
      <c r="AH280" s="793"/>
      <c r="AI280" s="807">
        <v>0</v>
      </c>
      <c r="AJ280" s="785"/>
      <c r="AK280" s="793"/>
      <c r="AL280" s="807">
        <v>0</v>
      </c>
      <c r="AM280" s="785"/>
      <c r="AN280" s="793"/>
      <c r="AO280" s="807">
        <v>0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25">
      <c r="A281" s="540" t="str">
        <f t="shared" si="5"/>
        <v>CarrosserieFrais postaux</v>
      </c>
      <c r="B281" s="626" t="s">
        <v>128</v>
      </c>
      <c r="C281" s="785"/>
      <c r="D281" s="793"/>
      <c r="E281" s="807">
        <v>0</v>
      </c>
      <c r="F281" s="785"/>
      <c r="G281" s="793"/>
      <c r="H281" s="807">
        <v>0</v>
      </c>
      <c r="I281" s="785"/>
      <c r="J281" s="793"/>
      <c r="K281" s="807">
        <v>0</v>
      </c>
      <c r="L281" s="785"/>
      <c r="M281" s="793"/>
      <c r="N281" s="807">
        <v>0</v>
      </c>
      <c r="O281" s="785"/>
      <c r="P281" s="793"/>
      <c r="Q281" s="807">
        <v>0</v>
      </c>
      <c r="R281" s="785"/>
      <c r="S281" s="793"/>
      <c r="T281" s="807">
        <v>0</v>
      </c>
      <c r="U281" s="785"/>
      <c r="V281" s="793"/>
      <c r="W281" s="807">
        <v>0</v>
      </c>
      <c r="X281" s="785"/>
      <c r="Y281" s="793"/>
      <c r="Z281" s="807">
        <v>0</v>
      </c>
      <c r="AA281" s="785"/>
      <c r="AB281" s="793"/>
      <c r="AC281" s="807">
        <v>0</v>
      </c>
      <c r="AD281" s="785"/>
      <c r="AE281" s="793"/>
      <c r="AF281" s="807">
        <v>0</v>
      </c>
      <c r="AG281" s="785"/>
      <c r="AH281" s="793"/>
      <c r="AI281" s="807">
        <v>0</v>
      </c>
      <c r="AJ281" s="785"/>
      <c r="AK281" s="793"/>
      <c r="AL281" s="807">
        <v>0</v>
      </c>
      <c r="AM281" s="785"/>
      <c r="AN281" s="793"/>
      <c r="AO281" s="807">
        <v>0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25">
      <c r="A282" s="540" t="str">
        <f t="shared" si="5"/>
        <v>CarrosserieDivers</v>
      </c>
      <c r="B282" s="626" t="s">
        <v>129</v>
      </c>
      <c r="C282" s="785"/>
      <c r="D282" s="793"/>
      <c r="E282" s="807">
        <v>0</v>
      </c>
      <c r="F282" s="785"/>
      <c r="G282" s="793"/>
      <c r="H282" s="807">
        <v>0</v>
      </c>
      <c r="I282" s="785"/>
      <c r="J282" s="793"/>
      <c r="K282" s="807">
        <v>0</v>
      </c>
      <c r="L282" s="785"/>
      <c r="M282" s="793"/>
      <c r="N282" s="807">
        <v>0</v>
      </c>
      <c r="O282" s="785"/>
      <c r="P282" s="793"/>
      <c r="Q282" s="807">
        <v>0</v>
      </c>
      <c r="R282" s="785"/>
      <c r="S282" s="793"/>
      <c r="T282" s="807">
        <v>0</v>
      </c>
      <c r="U282" s="785"/>
      <c r="V282" s="793"/>
      <c r="W282" s="807">
        <v>0</v>
      </c>
      <c r="X282" s="785"/>
      <c r="Y282" s="793"/>
      <c r="Z282" s="807">
        <v>0</v>
      </c>
      <c r="AA282" s="785"/>
      <c r="AB282" s="793"/>
      <c r="AC282" s="807">
        <v>0</v>
      </c>
      <c r="AD282" s="785"/>
      <c r="AE282" s="793"/>
      <c r="AF282" s="807">
        <v>0</v>
      </c>
      <c r="AG282" s="785"/>
      <c r="AH282" s="793"/>
      <c r="AI282" s="807">
        <v>0</v>
      </c>
      <c r="AJ282" s="785"/>
      <c r="AK282" s="793"/>
      <c r="AL282" s="807">
        <v>0</v>
      </c>
      <c r="AM282" s="785"/>
      <c r="AN282" s="793"/>
      <c r="AO282" s="807">
        <v>0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25">
      <c r="A283" s="540" t="str">
        <f t="shared" si="5"/>
        <v>CarrosserieFormation</v>
      </c>
      <c r="B283" s="626" t="s">
        <v>130</v>
      </c>
      <c r="C283" s="785"/>
      <c r="D283" s="793"/>
      <c r="E283" s="807">
        <v>0</v>
      </c>
      <c r="F283" s="785"/>
      <c r="G283" s="793"/>
      <c r="H283" s="807">
        <v>0</v>
      </c>
      <c r="I283" s="785"/>
      <c r="J283" s="793"/>
      <c r="K283" s="807">
        <v>0</v>
      </c>
      <c r="L283" s="785"/>
      <c r="M283" s="793"/>
      <c r="N283" s="807">
        <v>0</v>
      </c>
      <c r="O283" s="785"/>
      <c r="P283" s="793"/>
      <c r="Q283" s="807">
        <v>0</v>
      </c>
      <c r="R283" s="785"/>
      <c r="S283" s="793"/>
      <c r="T283" s="807">
        <v>0</v>
      </c>
      <c r="U283" s="785"/>
      <c r="V283" s="793"/>
      <c r="W283" s="807">
        <v>0</v>
      </c>
      <c r="X283" s="785"/>
      <c r="Y283" s="793"/>
      <c r="Z283" s="807">
        <v>0</v>
      </c>
      <c r="AA283" s="785"/>
      <c r="AB283" s="793"/>
      <c r="AC283" s="807">
        <v>0</v>
      </c>
      <c r="AD283" s="785"/>
      <c r="AE283" s="793"/>
      <c r="AF283" s="807">
        <v>0</v>
      </c>
      <c r="AG283" s="785"/>
      <c r="AH283" s="793"/>
      <c r="AI283" s="807">
        <v>0</v>
      </c>
      <c r="AJ283" s="785"/>
      <c r="AK283" s="793"/>
      <c r="AL283" s="807">
        <v>0</v>
      </c>
      <c r="AM283" s="785"/>
      <c r="AN283" s="793"/>
      <c r="AO283" s="807">
        <v>0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25">
      <c r="A284" s="540" t="str">
        <f t="shared" si="5"/>
        <v>CarrosserieFrais bancaires</v>
      </c>
      <c r="B284" s="626" t="s">
        <v>131</v>
      </c>
      <c r="C284" s="785"/>
      <c r="D284" s="793"/>
      <c r="E284" s="807">
        <v>0</v>
      </c>
      <c r="F284" s="785"/>
      <c r="G284" s="793"/>
      <c r="H284" s="807">
        <v>0</v>
      </c>
      <c r="I284" s="785"/>
      <c r="J284" s="793"/>
      <c r="K284" s="807">
        <v>0</v>
      </c>
      <c r="L284" s="785"/>
      <c r="M284" s="793"/>
      <c r="N284" s="807">
        <v>0</v>
      </c>
      <c r="O284" s="785"/>
      <c r="P284" s="793"/>
      <c r="Q284" s="807">
        <v>0</v>
      </c>
      <c r="R284" s="785"/>
      <c r="S284" s="793"/>
      <c r="T284" s="807">
        <v>0</v>
      </c>
      <c r="U284" s="785"/>
      <c r="V284" s="793"/>
      <c r="W284" s="807">
        <v>0</v>
      </c>
      <c r="X284" s="785"/>
      <c r="Y284" s="793"/>
      <c r="Z284" s="807">
        <v>0</v>
      </c>
      <c r="AA284" s="785"/>
      <c r="AB284" s="793"/>
      <c r="AC284" s="807">
        <v>0</v>
      </c>
      <c r="AD284" s="785"/>
      <c r="AE284" s="793"/>
      <c r="AF284" s="807">
        <v>0</v>
      </c>
      <c r="AG284" s="785"/>
      <c r="AH284" s="793"/>
      <c r="AI284" s="807">
        <v>0</v>
      </c>
      <c r="AJ284" s="785"/>
      <c r="AK284" s="793"/>
      <c r="AL284" s="807">
        <v>0</v>
      </c>
      <c r="AM284" s="785"/>
      <c r="AN284" s="793"/>
      <c r="AO284" s="807">
        <v>0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0.25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0</v>
      </c>
      <c r="F288" s="824" t="s">
        <v>108</v>
      </c>
      <c r="G288" s="825">
        <v>0</v>
      </c>
      <c r="H288" s="826">
        <v>0</v>
      </c>
      <c r="I288" s="824" t="s">
        <v>108</v>
      </c>
      <c r="J288" s="825">
        <v>0</v>
      </c>
      <c r="K288" s="826">
        <v>0</v>
      </c>
      <c r="L288" s="824" t="s">
        <v>108</v>
      </c>
      <c r="M288" s="825">
        <v>0</v>
      </c>
      <c r="N288" s="826">
        <v>0</v>
      </c>
      <c r="O288" s="824" t="s">
        <v>108</v>
      </c>
      <c r="P288" s="825">
        <v>0</v>
      </c>
      <c r="Q288" s="826">
        <v>0</v>
      </c>
      <c r="R288" s="824" t="s">
        <v>108</v>
      </c>
      <c r="S288" s="825">
        <v>0</v>
      </c>
      <c r="T288" s="826">
        <v>0</v>
      </c>
      <c r="U288" s="824" t="s">
        <v>108</v>
      </c>
      <c r="V288" s="825">
        <v>0</v>
      </c>
      <c r="W288" s="826">
        <v>0</v>
      </c>
      <c r="X288" s="824" t="s">
        <v>108</v>
      </c>
      <c r="Y288" s="825">
        <v>0</v>
      </c>
      <c r="Z288" s="826">
        <v>0</v>
      </c>
      <c r="AA288" s="824" t="s">
        <v>108</v>
      </c>
      <c r="AB288" s="825">
        <v>0</v>
      </c>
      <c r="AC288" s="826">
        <v>0</v>
      </c>
      <c r="AD288" s="824" t="s">
        <v>108</v>
      </c>
      <c r="AE288" s="825">
        <v>0</v>
      </c>
      <c r="AF288" s="826">
        <v>0</v>
      </c>
      <c r="AG288" s="824" t="s">
        <v>108</v>
      </c>
      <c r="AH288" s="825">
        <v>0</v>
      </c>
      <c r="AI288" s="826">
        <v>0</v>
      </c>
      <c r="AJ288" s="824" t="s">
        <v>108</v>
      </c>
      <c r="AK288" s="825">
        <v>0</v>
      </c>
      <c r="AL288" s="826">
        <v>0</v>
      </c>
      <c r="AM288" s="824" t="s">
        <v>108</v>
      </c>
      <c r="AN288" s="825">
        <v>0</v>
      </c>
      <c r="AO288" s="826">
        <v>0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25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0.25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0</v>
      </c>
      <c r="F290" s="812" t="s">
        <v>108</v>
      </c>
      <c r="G290" s="850">
        <v>0</v>
      </c>
      <c r="H290" s="823">
        <v>0</v>
      </c>
      <c r="I290" s="812" t="s">
        <v>108</v>
      </c>
      <c r="J290" s="850">
        <v>0</v>
      </c>
      <c r="K290" s="823">
        <v>0</v>
      </c>
      <c r="L290" s="812" t="s">
        <v>108</v>
      </c>
      <c r="M290" s="850">
        <v>0</v>
      </c>
      <c r="N290" s="823">
        <v>0</v>
      </c>
      <c r="O290" s="812" t="s">
        <v>108</v>
      </c>
      <c r="P290" s="850">
        <v>0</v>
      </c>
      <c r="Q290" s="823">
        <v>0</v>
      </c>
      <c r="R290" s="812" t="s">
        <v>108</v>
      </c>
      <c r="S290" s="850">
        <v>0</v>
      </c>
      <c r="T290" s="823">
        <v>0</v>
      </c>
      <c r="U290" s="812" t="s">
        <v>108</v>
      </c>
      <c r="V290" s="850">
        <v>0</v>
      </c>
      <c r="W290" s="823">
        <v>0</v>
      </c>
      <c r="X290" s="812" t="s">
        <v>108</v>
      </c>
      <c r="Y290" s="850">
        <v>0</v>
      </c>
      <c r="Z290" s="823">
        <v>0</v>
      </c>
      <c r="AA290" s="812" t="s">
        <v>108</v>
      </c>
      <c r="AB290" s="850">
        <v>0</v>
      </c>
      <c r="AC290" s="823">
        <v>0</v>
      </c>
      <c r="AD290" s="812" t="s">
        <v>108</v>
      </c>
      <c r="AE290" s="850">
        <v>0</v>
      </c>
      <c r="AF290" s="823">
        <v>0</v>
      </c>
      <c r="AG290" s="812" t="s">
        <v>108</v>
      </c>
      <c r="AH290" s="850">
        <v>0</v>
      </c>
      <c r="AI290" s="823">
        <v>0</v>
      </c>
      <c r="AJ290" s="812" t="s">
        <v>108</v>
      </c>
      <c r="AK290" s="850">
        <v>0</v>
      </c>
      <c r="AL290" s="823">
        <v>0</v>
      </c>
      <c r="AM290" s="812" t="s">
        <v>108</v>
      </c>
      <c r="AN290" s="850">
        <v>0</v>
      </c>
      <c r="AO290" s="823">
        <v>0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25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0</v>
      </c>
      <c r="F292" s="851"/>
      <c r="G292" s="852"/>
      <c r="H292" s="832">
        <v>0</v>
      </c>
      <c r="I292" s="851"/>
      <c r="J292" s="852"/>
      <c r="K292" s="832">
        <v>0</v>
      </c>
      <c r="L292" s="851"/>
      <c r="M292" s="852"/>
      <c r="N292" s="832">
        <v>0</v>
      </c>
      <c r="O292" s="851"/>
      <c r="P292" s="852"/>
      <c r="Q292" s="832">
        <v>0</v>
      </c>
      <c r="R292" s="851"/>
      <c r="S292" s="852"/>
      <c r="T292" s="832">
        <v>0</v>
      </c>
      <c r="U292" s="851"/>
      <c r="V292" s="852"/>
      <c r="W292" s="832">
        <v>0</v>
      </c>
      <c r="X292" s="851"/>
      <c r="Y292" s="852"/>
      <c r="Z292" s="832">
        <v>0</v>
      </c>
      <c r="AA292" s="851"/>
      <c r="AB292" s="852"/>
      <c r="AC292" s="832">
        <v>0</v>
      </c>
      <c r="AD292" s="851"/>
      <c r="AE292" s="852"/>
      <c r="AF292" s="832">
        <v>0</v>
      </c>
      <c r="AG292" s="851"/>
      <c r="AH292" s="852"/>
      <c r="AI292" s="832">
        <v>0</v>
      </c>
      <c r="AJ292" s="851"/>
      <c r="AK292" s="852"/>
      <c r="AL292" s="832">
        <v>0</v>
      </c>
      <c r="AM292" s="851"/>
      <c r="AN292" s="852"/>
      <c r="AO292" s="832">
        <v>0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25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25">
      <c r="A294" s="540"/>
      <c r="B294" s="618" t="s">
        <v>2934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" thickTop="1">
      <c r="A296" s="540"/>
      <c r="B296" s="658" t="s">
        <v>293</v>
      </c>
      <c r="C296" s="768">
        <v>2025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25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25">
      <c r="A298" s="540" t="str">
        <f t="shared" ref="A298:A356" si="6">+$C$294&amp;B298</f>
        <v>PiècesPièces Ro Clients</v>
      </c>
      <c r="B298" s="550" t="s">
        <v>169</v>
      </c>
      <c r="C298" s="854">
        <v>752599.99999999988</v>
      </c>
      <c r="D298" s="848">
        <v>0.41</v>
      </c>
      <c r="E298" s="807">
        <v>308565.99999999994</v>
      </c>
      <c r="F298" s="854">
        <v>42018.714388137254</v>
      </c>
      <c r="G298" s="848">
        <v>0.41</v>
      </c>
      <c r="H298" s="807">
        <v>17227.672899136272</v>
      </c>
      <c r="I298" s="854">
        <v>43650.772741528235</v>
      </c>
      <c r="J298" s="848">
        <v>0.41000000000000003</v>
      </c>
      <c r="K298" s="807">
        <v>17896.816824026577</v>
      </c>
      <c r="L298" s="854">
        <v>51571.733603597837</v>
      </c>
      <c r="M298" s="848">
        <v>0.40999999999999992</v>
      </c>
      <c r="N298" s="807">
        <v>21144.41077747511</v>
      </c>
      <c r="O298" s="854">
        <v>52833.577086390134</v>
      </c>
      <c r="P298" s="848">
        <v>0.41</v>
      </c>
      <c r="Q298" s="807">
        <v>21661.766605419954</v>
      </c>
      <c r="R298" s="854">
        <v>98824.078278664252</v>
      </c>
      <c r="S298" s="848">
        <v>0.41</v>
      </c>
      <c r="T298" s="807">
        <v>40517.872094252343</v>
      </c>
      <c r="U298" s="854">
        <v>73437.477357331052</v>
      </c>
      <c r="V298" s="848">
        <v>0.41</v>
      </c>
      <c r="W298" s="807">
        <v>30109.36571650573</v>
      </c>
      <c r="X298" s="854">
        <v>78855.887470716159</v>
      </c>
      <c r="Y298" s="848">
        <v>0.41</v>
      </c>
      <c r="Z298" s="807">
        <v>32330.913862993624</v>
      </c>
      <c r="AA298" s="854">
        <v>56499.169993336924</v>
      </c>
      <c r="AB298" s="848">
        <v>0.41</v>
      </c>
      <c r="AC298" s="807">
        <v>23164.659697268136</v>
      </c>
      <c r="AD298" s="854">
        <v>65857.399525775734</v>
      </c>
      <c r="AE298" s="848">
        <v>0.41</v>
      </c>
      <c r="AF298" s="807">
        <v>27001.533805568048</v>
      </c>
      <c r="AG298" s="854">
        <v>63406.97646851209</v>
      </c>
      <c r="AH298" s="848">
        <v>0.41</v>
      </c>
      <c r="AI298" s="807">
        <v>25996.860352089956</v>
      </c>
      <c r="AJ298" s="854">
        <v>79156.896088608351</v>
      </c>
      <c r="AK298" s="848">
        <v>0.41</v>
      </c>
      <c r="AL298" s="807">
        <v>32454.327396329423</v>
      </c>
      <c r="AM298" s="854">
        <v>46487.316997401977</v>
      </c>
      <c r="AN298" s="848">
        <v>0.41000000000000003</v>
      </c>
      <c r="AO298" s="807">
        <v>19059.799968934811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25">
      <c r="A299" s="540" t="str">
        <f t="shared" si="6"/>
        <v>PiècesPièces Ro Carrosserie</v>
      </c>
      <c r="B299" s="550" t="s">
        <v>170</v>
      </c>
      <c r="C299" s="854">
        <v>0</v>
      </c>
      <c r="D299" s="848">
        <v>0</v>
      </c>
      <c r="E299" s="807">
        <v>0</v>
      </c>
      <c r="F299" s="854">
        <v>0</v>
      </c>
      <c r="G299" s="848">
        <v>0</v>
      </c>
      <c r="H299" s="807">
        <v>0</v>
      </c>
      <c r="I299" s="854">
        <v>0</v>
      </c>
      <c r="J299" s="848">
        <v>0</v>
      </c>
      <c r="K299" s="807">
        <v>0</v>
      </c>
      <c r="L299" s="854">
        <v>0</v>
      </c>
      <c r="M299" s="848">
        <v>0</v>
      </c>
      <c r="N299" s="807">
        <v>0</v>
      </c>
      <c r="O299" s="854">
        <v>0</v>
      </c>
      <c r="P299" s="848">
        <v>0</v>
      </c>
      <c r="Q299" s="807">
        <v>0</v>
      </c>
      <c r="R299" s="854">
        <v>0</v>
      </c>
      <c r="S299" s="848">
        <v>0</v>
      </c>
      <c r="T299" s="807">
        <v>0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0</v>
      </c>
      <c r="AH299" s="848">
        <v>0</v>
      </c>
      <c r="AI299" s="807">
        <v>0</v>
      </c>
      <c r="AJ299" s="854">
        <v>0</v>
      </c>
      <c r="AK299" s="848">
        <v>0</v>
      </c>
      <c r="AL299" s="807">
        <v>0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25">
      <c r="A300" s="540" t="str">
        <f t="shared" si="6"/>
        <v>PiècesP/A Garantie</v>
      </c>
      <c r="B300" s="550" t="s">
        <v>171</v>
      </c>
      <c r="C300" s="854">
        <v>600000</v>
      </c>
      <c r="D300" s="848">
        <v>0.28499999999999998</v>
      </c>
      <c r="E300" s="807">
        <v>170999.99999999997</v>
      </c>
      <c r="F300" s="854">
        <v>55585.246256078062</v>
      </c>
      <c r="G300" s="848">
        <v>0.28499999999999998</v>
      </c>
      <c r="H300" s="807">
        <v>15841.795182982247</v>
      </c>
      <c r="I300" s="854">
        <v>32258.266806877076</v>
      </c>
      <c r="J300" s="848">
        <v>0.28499999999999998</v>
      </c>
      <c r="K300" s="807">
        <v>9193.6060399599664</v>
      </c>
      <c r="L300" s="854">
        <v>67558.895688795848</v>
      </c>
      <c r="M300" s="848">
        <v>0.28499999999999998</v>
      </c>
      <c r="N300" s="807">
        <v>19254.285271306817</v>
      </c>
      <c r="O300" s="854">
        <v>46238.697338689264</v>
      </c>
      <c r="P300" s="848">
        <v>0.28499999999999998</v>
      </c>
      <c r="Q300" s="807">
        <v>13178.028741526439</v>
      </c>
      <c r="R300" s="854">
        <v>45442.172409065461</v>
      </c>
      <c r="S300" s="848">
        <v>0.28499999999999998</v>
      </c>
      <c r="T300" s="807">
        <v>12951.019136583654</v>
      </c>
      <c r="U300" s="854">
        <v>53061.793248402479</v>
      </c>
      <c r="V300" s="848">
        <v>0.28499999999999998</v>
      </c>
      <c r="W300" s="807">
        <v>15122.611075794704</v>
      </c>
      <c r="X300" s="854">
        <v>54825.668868346642</v>
      </c>
      <c r="Y300" s="848">
        <v>0.28499999999999998</v>
      </c>
      <c r="Z300" s="807">
        <v>15625.315627478791</v>
      </c>
      <c r="AA300" s="854">
        <v>50866.187275162803</v>
      </c>
      <c r="AB300" s="848">
        <v>0.28499999999999998</v>
      </c>
      <c r="AC300" s="807">
        <v>14496.863373421398</v>
      </c>
      <c r="AD300" s="854">
        <v>66950.52424846348</v>
      </c>
      <c r="AE300" s="848">
        <v>0.28499999999999998</v>
      </c>
      <c r="AF300" s="807">
        <v>19080.89941081209</v>
      </c>
      <c r="AG300" s="854">
        <v>44644.230766166322</v>
      </c>
      <c r="AH300" s="848">
        <v>0.28499999999999998</v>
      </c>
      <c r="AI300" s="807">
        <v>12723.6057683574</v>
      </c>
      <c r="AJ300" s="854">
        <v>43079.472829361701</v>
      </c>
      <c r="AK300" s="848">
        <v>0.28499999999999998</v>
      </c>
      <c r="AL300" s="807">
        <v>12277.649756368084</v>
      </c>
      <c r="AM300" s="854">
        <v>39488.844264590873</v>
      </c>
      <c r="AN300" s="848">
        <v>0.28499999999999998</v>
      </c>
      <c r="AO300" s="807">
        <v>11254.320615408398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25">
      <c r="A301" s="540" t="str">
        <f t="shared" si="6"/>
        <v>PiècesVentes Internes</v>
      </c>
      <c r="B301" s="550" t="s">
        <v>172</v>
      </c>
      <c r="C301" s="854">
        <v>254799.99999999997</v>
      </c>
      <c r="D301" s="848">
        <v>0.35</v>
      </c>
      <c r="E301" s="807">
        <v>89179.999999999985</v>
      </c>
      <c r="F301" s="854">
        <v>16892.786020727752</v>
      </c>
      <c r="G301" s="848">
        <v>0.35</v>
      </c>
      <c r="H301" s="807">
        <v>5912.4751072547124</v>
      </c>
      <c r="I301" s="854">
        <v>10608.615174522634</v>
      </c>
      <c r="J301" s="848">
        <v>0.35</v>
      </c>
      <c r="K301" s="807">
        <v>3713.0153110829219</v>
      </c>
      <c r="L301" s="854">
        <v>22406.808699336212</v>
      </c>
      <c r="M301" s="848">
        <v>0.35</v>
      </c>
      <c r="N301" s="807">
        <v>7842.3830447676737</v>
      </c>
      <c r="O301" s="854">
        <v>18851.520787682755</v>
      </c>
      <c r="P301" s="848">
        <v>0.35</v>
      </c>
      <c r="Q301" s="807">
        <v>6598.0322756889636</v>
      </c>
      <c r="R301" s="854">
        <v>26504.77188254194</v>
      </c>
      <c r="S301" s="848">
        <v>0.35</v>
      </c>
      <c r="T301" s="807">
        <v>9276.6701588896776</v>
      </c>
      <c r="U301" s="854">
        <v>16304.778677468865</v>
      </c>
      <c r="V301" s="848">
        <v>0.35</v>
      </c>
      <c r="W301" s="807">
        <v>5706.6725371141019</v>
      </c>
      <c r="X301" s="854">
        <v>22787.106926557968</v>
      </c>
      <c r="Y301" s="848">
        <v>0.35</v>
      </c>
      <c r="Z301" s="807">
        <v>7975.4874242952883</v>
      </c>
      <c r="AA301" s="854">
        <v>20699.746069477784</v>
      </c>
      <c r="AB301" s="848">
        <v>0.35</v>
      </c>
      <c r="AC301" s="807">
        <v>7244.9111243172238</v>
      </c>
      <c r="AD301" s="854">
        <v>24776.835011512248</v>
      </c>
      <c r="AE301" s="848">
        <v>0.35</v>
      </c>
      <c r="AF301" s="807">
        <v>8671.8922540292861</v>
      </c>
      <c r="AG301" s="854">
        <v>24167.961473658779</v>
      </c>
      <c r="AH301" s="848">
        <v>0.35</v>
      </c>
      <c r="AI301" s="807">
        <v>8458.7865157805718</v>
      </c>
      <c r="AJ301" s="854">
        <v>30334.351860371611</v>
      </c>
      <c r="AK301" s="848">
        <v>0.35</v>
      </c>
      <c r="AL301" s="807">
        <v>10617.023151130063</v>
      </c>
      <c r="AM301" s="854">
        <v>20464.717416141451</v>
      </c>
      <c r="AN301" s="848">
        <v>0.35</v>
      </c>
      <c r="AO301" s="807">
        <v>7162.6510956495076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25">
      <c r="A302" s="540" t="str">
        <f t="shared" si="6"/>
        <v>PiècesVentes Détails</v>
      </c>
      <c r="B302" s="550" t="s">
        <v>173</v>
      </c>
      <c r="C302" s="854">
        <v>297000</v>
      </c>
      <c r="D302" s="848">
        <v>0.29999999999999993</v>
      </c>
      <c r="E302" s="807">
        <v>89099.999999999985</v>
      </c>
      <c r="F302" s="854">
        <v>14625.219171921442</v>
      </c>
      <c r="G302" s="848">
        <v>0.3</v>
      </c>
      <c r="H302" s="807">
        <v>4387.5657515764324</v>
      </c>
      <c r="I302" s="854">
        <v>24414.853147571026</v>
      </c>
      <c r="J302" s="848">
        <v>0.3</v>
      </c>
      <c r="K302" s="807">
        <v>7324.455944271308</v>
      </c>
      <c r="L302" s="854">
        <v>28277.10575658844</v>
      </c>
      <c r="M302" s="848">
        <v>0.3</v>
      </c>
      <c r="N302" s="807">
        <v>8483.1317269765314</v>
      </c>
      <c r="O302" s="854">
        <v>25639.426519790683</v>
      </c>
      <c r="P302" s="848">
        <v>0.3</v>
      </c>
      <c r="Q302" s="807">
        <v>7691.827955937204</v>
      </c>
      <c r="R302" s="854">
        <v>26444.432310803884</v>
      </c>
      <c r="S302" s="848">
        <v>0.3</v>
      </c>
      <c r="T302" s="807">
        <v>7933.3296932411649</v>
      </c>
      <c r="U302" s="854">
        <v>27408.664282225782</v>
      </c>
      <c r="V302" s="848">
        <v>0.3</v>
      </c>
      <c r="W302" s="807">
        <v>8222.5992846677345</v>
      </c>
      <c r="X302" s="854">
        <v>21868.031650631361</v>
      </c>
      <c r="Y302" s="848">
        <v>0.3</v>
      </c>
      <c r="Z302" s="807">
        <v>6560.4094951894085</v>
      </c>
      <c r="AA302" s="854">
        <v>24532.205480455625</v>
      </c>
      <c r="AB302" s="848">
        <v>0.3</v>
      </c>
      <c r="AC302" s="807">
        <v>7359.6616441366868</v>
      </c>
      <c r="AD302" s="854">
        <v>27228.966535810559</v>
      </c>
      <c r="AE302" s="848">
        <v>0.3</v>
      </c>
      <c r="AF302" s="807">
        <v>8168.6899607431678</v>
      </c>
      <c r="AG302" s="854">
        <v>32088.589869270709</v>
      </c>
      <c r="AH302" s="848">
        <v>0.3</v>
      </c>
      <c r="AI302" s="807">
        <v>9626.5769607812126</v>
      </c>
      <c r="AJ302" s="854">
        <v>26654.02245254481</v>
      </c>
      <c r="AK302" s="848">
        <v>0.3</v>
      </c>
      <c r="AL302" s="807">
        <v>7996.2067357634423</v>
      </c>
      <c r="AM302" s="854">
        <v>17818.482822385668</v>
      </c>
      <c r="AN302" s="848">
        <v>0.3</v>
      </c>
      <c r="AO302" s="807">
        <v>5345.5448467157003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25">
      <c r="A303" s="540" t="str">
        <f t="shared" si="6"/>
        <v>PiècesVentes de Gros</v>
      </c>
      <c r="B303" s="550" t="s">
        <v>174</v>
      </c>
      <c r="C303" s="854">
        <v>580200</v>
      </c>
      <c r="D303" s="848">
        <v>0.20000000000000004</v>
      </c>
      <c r="E303" s="807">
        <v>116040.00000000001</v>
      </c>
      <c r="F303" s="854">
        <v>58904.965233916264</v>
      </c>
      <c r="G303" s="848">
        <v>0.2</v>
      </c>
      <c r="H303" s="807">
        <v>11780.993046783253</v>
      </c>
      <c r="I303" s="854">
        <v>46683.461060030124</v>
      </c>
      <c r="J303" s="848">
        <v>0.19999999999999998</v>
      </c>
      <c r="K303" s="807">
        <v>9336.6922120060244</v>
      </c>
      <c r="L303" s="854">
        <v>52210.892351113376</v>
      </c>
      <c r="M303" s="848">
        <v>0.2</v>
      </c>
      <c r="N303" s="807">
        <v>10442.178470222676</v>
      </c>
      <c r="O303" s="854">
        <v>38846.442240444754</v>
      </c>
      <c r="P303" s="848">
        <v>0.2</v>
      </c>
      <c r="Q303" s="807">
        <v>7769.2884480889516</v>
      </c>
      <c r="R303" s="854">
        <v>67457.856416273164</v>
      </c>
      <c r="S303" s="848">
        <v>0.2</v>
      </c>
      <c r="T303" s="807">
        <v>13491.571283254634</v>
      </c>
      <c r="U303" s="854">
        <v>56812.803074842457</v>
      </c>
      <c r="V303" s="848">
        <v>0.2</v>
      </c>
      <c r="W303" s="807">
        <v>11362.560614968492</v>
      </c>
      <c r="X303" s="854">
        <v>45095.329043354155</v>
      </c>
      <c r="Y303" s="848">
        <v>0.2</v>
      </c>
      <c r="Z303" s="807">
        <v>9019.0658086708318</v>
      </c>
      <c r="AA303" s="854">
        <v>32390.327409100926</v>
      </c>
      <c r="AB303" s="848">
        <v>0.2</v>
      </c>
      <c r="AC303" s="807">
        <v>6478.0654818201856</v>
      </c>
      <c r="AD303" s="854">
        <v>32876.577182474772</v>
      </c>
      <c r="AE303" s="848">
        <v>0.2</v>
      </c>
      <c r="AF303" s="807">
        <v>6575.3154364949551</v>
      </c>
      <c r="AG303" s="854">
        <v>35067.91215398952</v>
      </c>
      <c r="AH303" s="848">
        <v>0.2</v>
      </c>
      <c r="AI303" s="807">
        <v>7013.5824307979046</v>
      </c>
      <c r="AJ303" s="854">
        <v>61767.125077228797</v>
      </c>
      <c r="AK303" s="848">
        <v>0.2</v>
      </c>
      <c r="AL303" s="807">
        <v>12353.42501544576</v>
      </c>
      <c r="AM303" s="854">
        <v>52086.308757231716</v>
      </c>
      <c r="AN303" s="848">
        <v>0.2</v>
      </c>
      <c r="AO303" s="807">
        <v>10417.261751446344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25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25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65000</v>
      </c>
      <c r="F305" s="854">
        <v>0</v>
      </c>
      <c r="G305" s="848">
        <v>0</v>
      </c>
      <c r="H305" s="807">
        <v>4919.0012555746398</v>
      </c>
      <c r="I305" s="854">
        <v>0</v>
      </c>
      <c r="J305" s="848">
        <v>0</v>
      </c>
      <c r="K305" s="807">
        <v>4123.4154312502587</v>
      </c>
      <c r="L305" s="854">
        <v>0</v>
      </c>
      <c r="M305" s="848">
        <v>0</v>
      </c>
      <c r="N305" s="807">
        <v>5808.4413372225154</v>
      </c>
      <c r="O305" s="854">
        <v>0</v>
      </c>
      <c r="P305" s="848">
        <v>0</v>
      </c>
      <c r="Q305" s="807">
        <v>4772.0470732692775</v>
      </c>
      <c r="R305" s="854">
        <v>0</v>
      </c>
      <c r="S305" s="848">
        <v>0</v>
      </c>
      <c r="T305" s="807">
        <v>6924.1589126328845</v>
      </c>
      <c r="U305" s="854">
        <v>0</v>
      </c>
      <c r="V305" s="848">
        <v>0</v>
      </c>
      <c r="W305" s="807">
        <v>5939.2492077668803</v>
      </c>
      <c r="X305" s="854">
        <v>0</v>
      </c>
      <c r="Y305" s="848">
        <v>0</v>
      </c>
      <c r="Z305" s="807">
        <v>5845.2392970194041</v>
      </c>
      <c r="AA305" s="854">
        <v>0</v>
      </c>
      <c r="AB305" s="848">
        <v>0</v>
      </c>
      <c r="AC305" s="807">
        <v>4839.4897990782074</v>
      </c>
      <c r="AD305" s="854">
        <v>0</v>
      </c>
      <c r="AE305" s="848">
        <v>0</v>
      </c>
      <c r="AF305" s="807">
        <v>5695.0292452557314</v>
      </c>
      <c r="AG305" s="854">
        <v>0</v>
      </c>
      <c r="AH305" s="848">
        <v>0</v>
      </c>
      <c r="AI305" s="807">
        <v>5215.8973668010267</v>
      </c>
      <c r="AJ305" s="854">
        <v>0</v>
      </c>
      <c r="AK305" s="848">
        <v>0</v>
      </c>
      <c r="AL305" s="807">
        <v>6304.6250664201443</v>
      </c>
      <c r="AM305" s="854">
        <v>0</v>
      </c>
      <c r="AN305" s="848">
        <v>0</v>
      </c>
      <c r="AO305" s="807">
        <v>4613.4060077090317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25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0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0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0.25">
      <c r="A307" s="540" t="str">
        <f t="shared" si="6"/>
        <v>PiècesSous-total Pièces</v>
      </c>
      <c r="B307" s="620" t="s">
        <v>177</v>
      </c>
      <c r="C307" s="886">
        <v>2484600</v>
      </c>
      <c r="D307" s="887">
        <v>0.33763422683731781</v>
      </c>
      <c r="E307" s="888">
        <v>838885.99999999988</v>
      </c>
      <c r="F307" s="886">
        <v>188026.93107078079</v>
      </c>
      <c r="G307" s="887">
        <v>0.31947286966405369</v>
      </c>
      <c r="H307" s="888">
        <v>60069.503243307554</v>
      </c>
      <c r="I307" s="886">
        <v>157615.96893052911</v>
      </c>
      <c r="J307" s="887">
        <v>0.32730187247292825</v>
      </c>
      <c r="K307" s="888">
        <v>51588.001762597058</v>
      </c>
      <c r="L307" s="886">
        <v>222025.43609943171</v>
      </c>
      <c r="M307" s="887">
        <v>0.3286777943554644</v>
      </c>
      <c r="N307" s="888">
        <v>72974.830627971314</v>
      </c>
      <c r="O307" s="886">
        <v>182409.66397299763</v>
      </c>
      <c r="P307" s="887">
        <v>0.33809059101748051</v>
      </c>
      <c r="Q307" s="888">
        <v>61670.99109993079</v>
      </c>
      <c r="R307" s="886">
        <v>264673.3112973487</v>
      </c>
      <c r="S307" s="887">
        <v>0.34417758568983031</v>
      </c>
      <c r="T307" s="888">
        <v>91094.621278854363</v>
      </c>
      <c r="U307" s="886">
        <v>227025.51664027062</v>
      </c>
      <c r="V307" s="887">
        <v>0.33680380764412432</v>
      </c>
      <c r="W307" s="888">
        <v>76463.05843681765</v>
      </c>
      <c r="X307" s="886">
        <v>223432.0239596063</v>
      </c>
      <c r="Y307" s="887">
        <v>0.3462190877778219</v>
      </c>
      <c r="Z307" s="888">
        <v>77356.431515647346</v>
      </c>
      <c r="AA307" s="886">
        <v>184987.63622753407</v>
      </c>
      <c r="AB307" s="887">
        <v>0.34371838257252069</v>
      </c>
      <c r="AC307" s="888">
        <v>63583.651120041839</v>
      </c>
      <c r="AD307" s="886">
        <v>217690.30250403678</v>
      </c>
      <c r="AE307" s="887">
        <v>0.34541437651550377</v>
      </c>
      <c r="AF307" s="888">
        <v>75193.360112903276</v>
      </c>
      <c r="AG307" s="886">
        <v>199375.67073159741</v>
      </c>
      <c r="AH307" s="887">
        <v>0.34625744024477517</v>
      </c>
      <c r="AI307" s="888">
        <v>69035.309394608063</v>
      </c>
      <c r="AJ307" s="886">
        <v>240991.86830811526</v>
      </c>
      <c r="AK307" s="887">
        <v>0.34027395902260626</v>
      </c>
      <c r="AL307" s="888">
        <v>82003.257121456933</v>
      </c>
      <c r="AM307" s="886">
        <v>176345.67025775168</v>
      </c>
      <c r="AN307" s="887">
        <v>0.32806580508216771</v>
      </c>
      <c r="AO307" s="888">
        <v>57852.984285863786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25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25">
      <c r="A309" s="540" t="str">
        <f t="shared" si="6"/>
        <v>Pièces</v>
      </c>
      <c r="B309" s="610"/>
      <c r="C309" s="811"/>
      <c r="D309" s="818"/>
      <c r="E309" s="889"/>
      <c r="F309" s="811"/>
      <c r="G309" s="818"/>
      <c r="H309" s="889"/>
      <c r="I309" s="811"/>
      <c r="J309" s="818"/>
      <c r="K309" s="889"/>
      <c r="L309" s="811"/>
      <c r="M309" s="818"/>
      <c r="N309" s="889"/>
      <c r="O309" s="811"/>
      <c r="P309" s="818"/>
      <c r="Q309" s="889"/>
      <c r="R309" s="811"/>
      <c r="S309" s="818"/>
      <c r="T309" s="889"/>
      <c r="U309" s="811"/>
      <c r="V309" s="818"/>
      <c r="W309" s="889"/>
      <c r="X309" s="811"/>
      <c r="Y309" s="818"/>
      <c r="Z309" s="889"/>
      <c r="AA309" s="811"/>
      <c r="AB309" s="818"/>
      <c r="AC309" s="889"/>
      <c r="AD309" s="811"/>
      <c r="AE309" s="818"/>
      <c r="AF309" s="889"/>
      <c r="AG309" s="811"/>
      <c r="AH309" s="818"/>
      <c r="AI309" s="889"/>
      <c r="AJ309" s="811"/>
      <c r="AK309" s="818"/>
      <c r="AL309" s="889"/>
      <c r="AM309" s="811"/>
      <c r="AN309" s="818"/>
      <c r="AO309" s="889"/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25">
      <c r="A310" s="540" t="str">
        <f t="shared" si="6"/>
        <v>PiècesVentes Pneus</v>
      </c>
      <c r="B310" s="550" t="s">
        <v>178</v>
      </c>
      <c r="C310" s="854">
        <v>800000</v>
      </c>
      <c r="D310" s="848">
        <v>0.23999999999999996</v>
      </c>
      <c r="E310" s="807">
        <v>191999.99999999997</v>
      </c>
      <c r="F310" s="854">
        <v>22559.68308239472</v>
      </c>
      <c r="G310" s="848">
        <v>0.24</v>
      </c>
      <c r="H310" s="807">
        <v>5414.3239397747329</v>
      </c>
      <c r="I310" s="854">
        <v>41608.531116566068</v>
      </c>
      <c r="J310" s="848">
        <v>0.24</v>
      </c>
      <c r="K310" s="807">
        <v>9986.0474679758554</v>
      </c>
      <c r="L310" s="854">
        <v>51469.139266936058</v>
      </c>
      <c r="M310" s="848">
        <v>0.24</v>
      </c>
      <c r="N310" s="807">
        <v>12352.593424064653</v>
      </c>
      <c r="O310" s="854">
        <v>88486.639182204992</v>
      </c>
      <c r="P310" s="848">
        <v>0.24</v>
      </c>
      <c r="Q310" s="807">
        <v>21236.793403729196</v>
      </c>
      <c r="R310" s="854">
        <v>78606.103678435378</v>
      </c>
      <c r="S310" s="848">
        <v>0.24</v>
      </c>
      <c r="T310" s="807">
        <v>18865.46488282449</v>
      </c>
      <c r="U310" s="854">
        <v>50681.855057798777</v>
      </c>
      <c r="V310" s="848">
        <v>0.24000000000000002</v>
      </c>
      <c r="W310" s="807">
        <v>12163.645213871707</v>
      </c>
      <c r="X310" s="854">
        <v>47198.651392457308</v>
      </c>
      <c r="Y310" s="848">
        <v>0.24</v>
      </c>
      <c r="Z310" s="807">
        <v>11327.676334189753</v>
      </c>
      <c r="AA310" s="854">
        <v>43391.595459120166</v>
      </c>
      <c r="AB310" s="848">
        <v>0.24</v>
      </c>
      <c r="AC310" s="807">
        <v>10413.982910188839</v>
      </c>
      <c r="AD310" s="854">
        <v>72116.569244223603</v>
      </c>
      <c r="AE310" s="848">
        <v>0.24000000000000002</v>
      </c>
      <c r="AF310" s="807">
        <v>17307.976618613666</v>
      </c>
      <c r="AG310" s="854">
        <v>113604.17645072647</v>
      </c>
      <c r="AH310" s="848">
        <v>0.24</v>
      </c>
      <c r="AI310" s="807">
        <v>27265.002348174352</v>
      </c>
      <c r="AJ310" s="854">
        <v>137205.10504824581</v>
      </c>
      <c r="AK310" s="848">
        <v>0.24000000000000002</v>
      </c>
      <c r="AL310" s="807">
        <v>32929.225211578996</v>
      </c>
      <c r="AM310" s="854">
        <v>53071.95102089065</v>
      </c>
      <c r="AN310" s="848">
        <v>0.24</v>
      </c>
      <c r="AO310" s="807">
        <v>12737.268245013756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25">
      <c r="A311" s="540" t="str">
        <f t="shared" si="6"/>
        <v>PiècesHuiles et Graisse</v>
      </c>
      <c r="B311" s="610" t="s">
        <v>179</v>
      </c>
      <c r="C311" s="854">
        <v>135500</v>
      </c>
      <c r="D311" s="848">
        <v>0.34399999999999997</v>
      </c>
      <c r="E311" s="807">
        <v>46612</v>
      </c>
      <c r="F311" s="854">
        <v>7330.9389927239226</v>
      </c>
      <c r="G311" s="848">
        <v>0.34399999999999997</v>
      </c>
      <c r="H311" s="807">
        <v>2521.843013497029</v>
      </c>
      <c r="I311" s="854">
        <v>8596.4580569439149</v>
      </c>
      <c r="J311" s="848">
        <v>0.34399999999999997</v>
      </c>
      <c r="K311" s="807">
        <v>2957.1815715887064</v>
      </c>
      <c r="L311" s="854">
        <v>8667.8478326592176</v>
      </c>
      <c r="M311" s="848">
        <v>0.34399999999999997</v>
      </c>
      <c r="N311" s="807">
        <v>2981.7396544347707</v>
      </c>
      <c r="O311" s="854">
        <v>11295.663199201983</v>
      </c>
      <c r="P311" s="848">
        <v>0.34399999999999997</v>
      </c>
      <c r="Q311" s="807">
        <v>3885.7081405254817</v>
      </c>
      <c r="R311" s="854">
        <v>14636.104976159215</v>
      </c>
      <c r="S311" s="848">
        <v>0.34399999999999997</v>
      </c>
      <c r="T311" s="807">
        <v>5034.8201117987692</v>
      </c>
      <c r="U311" s="854">
        <v>13058.864480826443</v>
      </c>
      <c r="V311" s="848">
        <v>0.34399999999999997</v>
      </c>
      <c r="W311" s="807">
        <v>4492.2493814042964</v>
      </c>
      <c r="X311" s="854">
        <v>12776.053009267396</v>
      </c>
      <c r="Y311" s="848">
        <v>0.34400000000000003</v>
      </c>
      <c r="Z311" s="807">
        <v>4394.9622351879843</v>
      </c>
      <c r="AA311" s="854">
        <v>11552.158957494439</v>
      </c>
      <c r="AB311" s="848">
        <v>0.34399999999999997</v>
      </c>
      <c r="AC311" s="807">
        <v>3973.9426813780869</v>
      </c>
      <c r="AD311" s="854">
        <v>11635.880451722911</v>
      </c>
      <c r="AE311" s="848">
        <v>0.34399999999999997</v>
      </c>
      <c r="AF311" s="807">
        <v>4002.7428753926811</v>
      </c>
      <c r="AG311" s="854">
        <v>13391.907496579703</v>
      </c>
      <c r="AH311" s="848">
        <v>0.34399999999999997</v>
      </c>
      <c r="AI311" s="807">
        <v>4606.8161788234174</v>
      </c>
      <c r="AJ311" s="854">
        <v>13485.861772785223</v>
      </c>
      <c r="AK311" s="848">
        <v>0.34399999999999997</v>
      </c>
      <c r="AL311" s="807">
        <v>4639.1364498381163</v>
      </c>
      <c r="AM311" s="854">
        <v>9072.2607736356331</v>
      </c>
      <c r="AN311" s="848">
        <v>0.34399999999999997</v>
      </c>
      <c r="AO311" s="807">
        <v>3120.8577061306573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0.25">
      <c r="A312" s="540" t="str">
        <f t="shared" si="6"/>
        <v>PiècesSous-total Pièces et Acc.</v>
      </c>
      <c r="B312" s="620" t="s">
        <v>180</v>
      </c>
      <c r="C312" s="886">
        <v>3420100</v>
      </c>
      <c r="D312" s="887">
        <v>0.315048682787053</v>
      </c>
      <c r="E312" s="888">
        <v>1077498</v>
      </c>
      <c r="F312" s="886">
        <v>217917.55314589941</v>
      </c>
      <c r="G312" s="887">
        <v>0.31207063962877923</v>
      </c>
      <c r="H312" s="888">
        <v>68005.670196579318</v>
      </c>
      <c r="I312" s="886">
        <v>207820.95810403911</v>
      </c>
      <c r="J312" s="887">
        <v>0.31051358530382706</v>
      </c>
      <c r="K312" s="888">
        <v>64531.230802161619</v>
      </c>
      <c r="L312" s="886">
        <v>282162.42319902696</v>
      </c>
      <c r="M312" s="887">
        <v>0.31297280022358154</v>
      </c>
      <c r="N312" s="888">
        <v>88309.163706470732</v>
      </c>
      <c r="O312" s="886">
        <v>282191.96635440463</v>
      </c>
      <c r="P312" s="887">
        <v>0.30756897074518985</v>
      </c>
      <c r="Q312" s="888">
        <v>86793.492644185477</v>
      </c>
      <c r="R312" s="886">
        <v>357915.51995194331</v>
      </c>
      <c r="S312" s="887">
        <v>0.32129063944731368</v>
      </c>
      <c r="T312" s="888">
        <v>114994.90627347762</v>
      </c>
      <c r="U312" s="886">
        <v>290766.23617889581</v>
      </c>
      <c r="V312" s="887">
        <v>0.3202536658169679</v>
      </c>
      <c r="W312" s="888">
        <v>93118.953032093661</v>
      </c>
      <c r="X312" s="886">
        <v>283406.72836133098</v>
      </c>
      <c r="Y312" s="887">
        <v>0.32842928826429768</v>
      </c>
      <c r="Z312" s="888">
        <v>93079.070085025087</v>
      </c>
      <c r="AA312" s="886">
        <v>239931.39064414869</v>
      </c>
      <c r="AB312" s="887">
        <v>0.32497447083633735</v>
      </c>
      <c r="AC312" s="888">
        <v>77971.576711608766</v>
      </c>
      <c r="AD312" s="886">
        <v>301442.75219998328</v>
      </c>
      <c r="AE312" s="887">
        <v>0.32014065325042829</v>
      </c>
      <c r="AF312" s="888">
        <v>96504.079606909625</v>
      </c>
      <c r="AG312" s="886">
        <v>326371.75467890356</v>
      </c>
      <c r="AH312" s="887">
        <v>0.30917849499838596</v>
      </c>
      <c r="AI312" s="888">
        <v>100907.12792160583</v>
      </c>
      <c r="AJ312" s="886">
        <v>391682.83512914623</v>
      </c>
      <c r="AK312" s="887">
        <v>0.30527663726557924</v>
      </c>
      <c r="AL312" s="888">
        <v>119571.61878287405</v>
      </c>
      <c r="AM312" s="886">
        <v>238489.88205227797</v>
      </c>
      <c r="AN312" s="887">
        <v>0.30907437079804673</v>
      </c>
      <c r="AO312" s="888">
        <v>73711.110237008194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25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25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>
        <v>0</v>
      </c>
      <c r="G314" s="890">
        <v>0</v>
      </c>
      <c r="H314" s="786">
        <v>0</v>
      </c>
      <c r="I314" s="785">
        <v>0</v>
      </c>
      <c r="J314" s="890">
        <v>0</v>
      </c>
      <c r="K314" s="786">
        <v>0</v>
      </c>
      <c r="L314" s="785">
        <v>0</v>
      </c>
      <c r="M314" s="890">
        <v>0</v>
      </c>
      <c r="N314" s="786">
        <v>0</v>
      </c>
      <c r="O314" s="785">
        <v>0</v>
      </c>
      <c r="P314" s="890">
        <v>0</v>
      </c>
      <c r="Q314" s="786">
        <v>0</v>
      </c>
      <c r="R314" s="785">
        <v>0</v>
      </c>
      <c r="S314" s="890">
        <v>0</v>
      </c>
      <c r="T314" s="786">
        <v>0</v>
      </c>
      <c r="U314" s="785">
        <v>0</v>
      </c>
      <c r="V314" s="890">
        <v>0</v>
      </c>
      <c r="W314" s="786">
        <v>0</v>
      </c>
      <c r="X314" s="785">
        <v>0</v>
      </c>
      <c r="Y314" s="890">
        <v>0</v>
      </c>
      <c r="Z314" s="786">
        <v>0</v>
      </c>
      <c r="AA314" s="785">
        <v>0</v>
      </c>
      <c r="AB314" s="890">
        <v>0</v>
      </c>
      <c r="AC314" s="786">
        <v>0</v>
      </c>
      <c r="AD314" s="785">
        <v>0</v>
      </c>
      <c r="AE314" s="890">
        <v>0</v>
      </c>
      <c r="AF314" s="786">
        <v>0</v>
      </c>
      <c r="AG314" s="785">
        <v>0</v>
      </c>
      <c r="AH314" s="890">
        <v>0</v>
      </c>
      <c r="AI314" s="786">
        <v>0</v>
      </c>
      <c r="AJ314" s="785">
        <v>0</v>
      </c>
      <c r="AK314" s="890">
        <v>0</v>
      </c>
      <c r="AL314" s="786">
        <v>0</v>
      </c>
      <c r="AM314" s="785">
        <v>0</v>
      </c>
      <c r="AN314" s="793">
        <v>0</v>
      </c>
      <c r="AO314" s="786">
        <v>0</v>
      </c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25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" thickTop="1">
      <c r="A317" s="540" t="str">
        <f t="shared" si="6"/>
        <v>PiècesTotal Dépt. Pièces</v>
      </c>
      <c r="B317" s="606" t="s">
        <v>182</v>
      </c>
      <c r="C317" s="795">
        <v>3420100</v>
      </c>
      <c r="D317" s="893">
        <v>0.315048682787053</v>
      </c>
      <c r="E317" s="797">
        <v>1077498</v>
      </c>
      <c r="F317" s="795">
        <v>217917.55314589941</v>
      </c>
      <c r="G317" s="893">
        <v>0.31207063962877923</v>
      </c>
      <c r="H317" s="797">
        <v>68005.670196579318</v>
      </c>
      <c r="I317" s="795">
        <v>207820.95810403911</v>
      </c>
      <c r="J317" s="893">
        <v>0.31051358530382706</v>
      </c>
      <c r="K317" s="797">
        <v>64531.230802161619</v>
      </c>
      <c r="L317" s="795">
        <v>282162.42319902696</v>
      </c>
      <c r="M317" s="893">
        <v>0.31297280022358154</v>
      </c>
      <c r="N317" s="797">
        <v>88309.163706470732</v>
      </c>
      <c r="O317" s="795">
        <v>282191.96635440463</v>
      </c>
      <c r="P317" s="893">
        <v>0.30756897074518985</v>
      </c>
      <c r="Q317" s="797">
        <v>86793.492644185477</v>
      </c>
      <c r="R317" s="795">
        <v>357915.51995194331</v>
      </c>
      <c r="S317" s="893">
        <v>0.32129063944731368</v>
      </c>
      <c r="T317" s="797">
        <v>114994.90627347762</v>
      </c>
      <c r="U317" s="795">
        <v>290766.23617889581</v>
      </c>
      <c r="V317" s="893">
        <v>0.3202536658169679</v>
      </c>
      <c r="W317" s="797">
        <v>93118.953032093661</v>
      </c>
      <c r="X317" s="795">
        <v>283406.72836133098</v>
      </c>
      <c r="Y317" s="893">
        <v>0.32842928826429768</v>
      </c>
      <c r="Z317" s="797">
        <v>93079.070085025087</v>
      </c>
      <c r="AA317" s="795">
        <v>239931.39064414869</v>
      </c>
      <c r="AB317" s="893">
        <v>0.32497447083633735</v>
      </c>
      <c r="AC317" s="797">
        <v>77971.576711608766</v>
      </c>
      <c r="AD317" s="795">
        <v>301442.75219998328</v>
      </c>
      <c r="AE317" s="893">
        <v>0.32014065325042829</v>
      </c>
      <c r="AF317" s="797">
        <v>96504.079606909625</v>
      </c>
      <c r="AG317" s="795">
        <v>326371.75467890356</v>
      </c>
      <c r="AH317" s="893">
        <v>0.30917849499838596</v>
      </c>
      <c r="AI317" s="797">
        <v>100907.12792160583</v>
      </c>
      <c r="AJ317" s="795">
        <v>391682.83512914623</v>
      </c>
      <c r="AK317" s="893">
        <v>0.30527663726557924</v>
      </c>
      <c r="AL317" s="797">
        <v>119571.61878287405</v>
      </c>
      <c r="AM317" s="795">
        <v>238489.88205227797</v>
      </c>
      <c r="AN317" s="893">
        <v>0.30907437079804673</v>
      </c>
      <c r="AO317" s="797">
        <v>73711.110237008194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0.25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25">
      <c r="A321" s="540" t="str">
        <f t="shared" si="6"/>
        <v>PiècesSalaires cadres</v>
      </c>
      <c r="B321" s="626" t="s">
        <v>109</v>
      </c>
      <c r="C321" s="785"/>
      <c r="D321" s="793"/>
      <c r="E321" s="807">
        <v>51145.723076923074</v>
      </c>
      <c r="F321" s="785"/>
      <c r="G321" s="793"/>
      <c r="H321" s="807">
        <v>4325.9966696139118</v>
      </c>
      <c r="I321" s="785"/>
      <c r="J321" s="793"/>
      <c r="K321" s="807">
        <v>4172.7492779251406</v>
      </c>
      <c r="L321" s="785"/>
      <c r="M321" s="793"/>
      <c r="N321" s="807">
        <v>4223.8317418213974</v>
      </c>
      <c r="O321" s="785"/>
      <c r="P321" s="793"/>
      <c r="Q321" s="807">
        <v>4274.9142057176541</v>
      </c>
      <c r="R321" s="785"/>
      <c r="S321" s="793"/>
      <c r="T321" s="807">
        <v>4274.9142057176541</v>
      </c>
      <c r="U321" s="785"/>
      <c r="V321" s="793"/>
      <c r="W321" s="807">
        <v>4223.8317418213974</v>
      </c>
      <c r="X321" s="785"/>
      <c r="Y321" s="793"/>
      <c r="Z321" s="807">
        <v>4325.9966696139118</v>
      </c>
      <c r="AA321" s="785"/>
      <c r="AB321" s="793"/>
      <c r="AC321" s="807">
        <v>4223.8317418213974</v>
      </c>
      <c r="AD321" s="785"/>
      <c r="AE321" s="793"/>
      <c r="AF321" s="807">
        <v>4274.9142057176541</v>
      </c>
      <c r="AG321" s="785"/>
      <c r="AH321" s="793"/>
      <c r="AI321" s="807">
        <v>4325.9966696139118</v>
      </c>
      <c r="AJ321" s="785"/>
      <c r="AK321" s="793"/>
      <c r="AL321" s="807">
        <v>4172.7492779251406</v>
      </c>
      <c r="AM321" s="785"/>
      <c r="AN321" s="793"/>
      <c r="AO321" s="807">
        <v>4325.9966696139118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25">
      <c r="A322" s="540" t="str">
        <f t="shared" si="6"/>
        <v>PiècesSalaires commis</v>
      </c>
      <c r="B322" s="629" t="s">
        <v>110</v>
      </c>
      <c r="C322" s="785"/>
      <c r="D322" s="793"/>
      <c r="E322" s="807">
        <v>33795.4</v>
      </c>
      <c r="F322" s="785"/>
      <c r="G322" s="793"/>
      <c r="H322" s="807">
        <v>2917.7478927203065</v>
      </c>
      <c r="I322" s="785"/>
      <c r="J322" s="793"/>
      <c r="K322" s="807">
        <v>2674.232950191571</v>
      </c>
      <c r="L322" s="785"/>
      <c r="M322" s="793"/>
      <c r="N322" s="807">
        <v>2755.4045977011497</v>
      </c>
      <c r="O322" s="785"/>
      <c r="P322" s="793"/>
      <c r="Q322" s="807">
        <v>2836.5762452107283</v>
      </c>
      <c r="R322" s="785"/>
      <c r="S322" s="793"/>
      <c r="T322" s="807">
        <v>2836.5762452107283</v>
      </c>
      <c r="U322" s="785"/>
      <c r="V322" s="793"/>
      <c r="W322" s="807">
        <v>2755.4045977011497</v>
      </c>
      <c r="X322" s="785"/>
      <c r="Y322" s="793"/>
      <c r="Z322" s="807">
        <v>2917.7478927203065</v>
      </c>
      <c r="AA322" s="785"/>
      <c r="AB322" s="793"/>
      <c r="AC322" s="807">
        <v>2755.4045977011497</v>
      </c>
      <c r="AD322" s="785"/>
      <c r="AE322" s="793"/>
      <c r="AF322" s="807">
        <v>2836.5762452107283</v>
      </c>
      <c r="AG322" s="785"/>
      <c r="AH322" s="793"/>
      <c r="AI322" s="807">
        <v>2917.7478927203065</v>
      </c>
      <c r="AJ322" s="785"/>
      <c r="AK322" s="793"/>
      <c r="AL322" s="807">
        <v>2674.232950191571</v>
      </c>
      <c r="AM322" s="785"/>
      <c r="AN322" s="793"/>
      <c r="AO322" s="807">
        <v>2917.7478927203065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25">
      <c r="A323" s="540" t="str">
        <f t="shared" si="6"/>
        <v>PiècesSalaires autres</v>
      </c>
      <c r="B323" s="626" t="s">
        <v>111</v>
      </c>
      <c r="C323" s="815"/>
      <c r="D323" s="816"/>
      <c r="E323" s="817">
        <v>170693.44</v>
      </c>
      <c r="F323" s="815"/>
      <c r="G323" s="816"/>
      <c r="H323" s="817">
        <v>15429.558697318007</v>
      </c>
      <c r="I323" s="815"/>
      <c r="J323" s="816"/>
      <c r="K323" s="817">
        <v>14037.305823754788</v>
      </c>
      <c r="L323" s="815"/>
      <c r="M323" s="816"/>
      <c r="N323" s="817">
        <v>13251.390114942529</v>
      </c>
      <c r="O323" s="815"/>
      <c r="P323" s="816"/>
      <c r="Q323" s="817">
        <v>13715.474406130268</v>
      </c>
      <c r="R323" s="815"/>
      <c r="S323" s="816"/>
      <c r="T323" s="817">
        <v>13715.474406130268</v>
      </c>
      <c r="U323" s="815"/>
      <c r="V323" s="816"/>
      <c r="W323" s="817">
        <v>13251.390114942529</v>
      </c>
      <c r="X323" s="815"/>
      <c r="Y323" s="816"/>
      <c r="Z323" s="817">
        <v>14179.558697318007</v>
      </c>
      <c r="AA323" s="815"/>
      <c r="AB323" s="816"/>
      <c r="AC323" s="817">
        <v>13251.390114942529</v>
      </c>
      <c r="AD323" s="815"/>
      <c r="AE323" s="816"/>
      <c r="AF323" s="817">
        <v>14965.474406130268</v>
      </c>
      <c r="AG323" s="815"/>
      <c r="AH323" s="816"/>
      <c r="AI323" s="817">
        <v>15429.558697318007</v>
      </c>
      <c r="AJ323" s="815"/>
      <c r="AK323" s="816"/>
      <c r="AL323" s="817">
        <v>14037.305823754788</v>
      </c>
      <c r="AM323" s="815"/>
      <c r="AN323" s="816"/>
      <c r="AO323" s="817">
        <v>15429.558697318007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25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25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25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25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25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33971.985520669259</v>
      </c>
      <c r="F328" s="785"/>
      <c r="G328" s="793"/>
      <c r="H328" s="807">
        <v>3612.304313020999</v>
      </c>
      <c r="I328" s="785"/>
      <c r="J328" s="793"/>
      <c r="K328" s="807">
        <v>2167.5612001650456</v>
      </c>
      <c r="L328" s="785"/>
      <c r="M328" s="793"/>
      <c r="N328" s="807">
        <v>2115.6766708399646</v>
      </c>
      <c r="O328" s="785"/>
      <c r="P328" s="793"/>
      <c r="Q328" s="807">
        <v>2759.054272306129</v>
      </c>
      <c r="R328" s="785"/>
      <c r="S328" s="793"/>
      <c r="T328" s="807">
        <v>2759.054272306129</v>
      </c>
      <c r="U328" s="785"/>
      <c r="V328" s="793"/>
      <c r="W328" s="807">
        <v>2679.1297096568574</v>
      </c>
      <c r="X328" s="785"/>
      <c r="Y328" s="793"/>
      <c r="Z328" s="807">
        <v>2838.9788349554005</v>
      </c>
      <c r="AA328" s="785"/>
      <c r="AB328" s="793"/>
      <c r="AC328" s="807">
        <v>2115.6766708399646</v>
      </c>
      <c r="AD328" s="785"/>
      <c r="AE328" s="793"/>
      <c r="AF328" s="807">
        <v>2904.6813999561291</v>
      </c>
      <c r="AG328" s="785"/>
      <c r="AH328" s="793"/>
      <c r="AI328" s="807">
        <v>2984.6059626054007</v>
      </c>
      <c r="AJ328" s="785"/>
      <c r="AK328" s="793"/>
      <c r="AL328" s="807">
        <v>2167.5612001650456</v>
      </c>
      <c r="AM328" s="785"/>
      <c r="AN328" s="793"/>
      <c r="AO328" s="807">
        <v>4867.7010138521946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25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38971.385119418388</v>
      </c>
      <c r="F329" s="815"/>
      <c r="G329" s="816"/>
      <c r="H329" s="817">
        <v>4457.6296143589743</v>
      </c>
      <c r="I329" s="815"/>
      <c r="J329" s="816"/>
      <c r="K329" s="817">
        <v>3757.8914285470087</v>
      </c>
      <c r="L329" s="815"/>
      <c r="M329" s="816"/>
      <c r="N329" s="817">
        <v>3196.5114918125555</v>
      </c>
      <c r="O329" s="815"/>
      <c r="P329" s="816"/>
      <c r="Q329" s="817">
        <v>3220.8231657176543</v>
      </c>
      <c r="R329" s="815"/>
      <c r="S329" s="816"/>
      <c r="T329" s="817">
        <v>3162.0255586697735</v>
      </c>
      <c r="U329" s="815"/>
      <c r="V329" s="816"/>
      <c r="W329" s="817">
        <v>3081.5290640495141</v>
      </c>
      <c r="X329" s="815"/>
      <c r="Y329" s="816"/>
      <c r="Z329" s="817">
        <v>3265.3871742764518</v>
      </c>
      <c r="AA329" s="815"/>
      <c r="AB329" s="816"/>
      <c r="AC329" s="817">
        <v>3024.0378501679934</v>
      </c>
      <c r="AD329" s="815"/>
      <c r="AE329" s="816"/>
      <c r="AF329" s="817">
        <v>3091.632886389626</v>
      </c>
      <c r="AG329" s="815"/>
      <c r="AH329" s="816"/>
      <c r="AI329" s="817">
        <v>3048.6087592455056</v>
      </c>
      <c r="AJ329" s="815"/>
      <c r="AK329" s="816"/>
      <c r="AL329" s="817">
        <v>2744.7921719481287</v>
      </c>
      <c r="AM329" s="815"/>
      <c r="AN329" s="816"/>
      <c r="AO329" s="817">
        <v>2920.5159542351903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25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20274.251630769235</v>
      </c>
      <c r="F330" s="785"/>
      <c r="G330" s="793"/>
      <c r="H330" s="807">
        <v>1793.299270144415</v>
      </c>
      <c r="I330" s="785"/>
      <c r="J330" s="793"/>
      <c r="K330" s="807">
        <v>1649.2313479516654</v>
      </c>
      <c r="L330" s="785"/>
      <c r="M330" s="793"/>
      <c r="N330" s="807">
        <v>1609.7539886825821</v>
      </c>
      <c r="O330" s="785"/>
      <c r="P330" s="793"/>
      <c r="Q330" s="807">
        <v>1657.7766294134985</v>
      </c>
      <c r="R330" s="785"/>
      <c r="S330" s="793"/>
      <c r="T330" s="807">
        <v>1657.7766294134985</v>
      </c>
      <c r="U330" s="785"/>
      <c r="V330" s="793"/>
      <c r="W330" s="807">
        <v>1609.7539886825821</v>
      </c>
      <c r="X330" s="785"/>
      <c r="Y330" s="793"/>
      <c r="Z330" s="807">
        <v>1705.799270144415</v>
      </c>
      <c r="AA330" s="785"/>
      <c r="AB330" s="793"/>
      <c r="AC330" s="807">
        <v>1609.7539886825821</v>
      </c>
      <c r="AD330" s="785"/>
      <c r="AE330" s="793"/>
      <c r="AF330" s="807">
        <v>1745.2766294134985</v>
      </c>
      <c r="AG330" s="785"/>
      <c r="AH330" s="793"/>
      <c r="AI330" s="807">
        <v>1793.299270144415</v>
      </c>
      <c r="AJ330" s="785"/>
      <c r="AK330" s="793"/>
      <c r="AL330" s="807">
        <v>1649.2313479516654</v>
      </c>
      <c r="AM330" s="785"/>
      <c r="AN330" s="793"/>
      <c r="AO330" s="807">
        <v>1793.299270144415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25">
      <c r="A331" s="540" t="str">
        <f t="shared" si="6"/>
        <v>PiècesCsst</v>
      </c>
      <c r="B331" s="626" t="s">
        <v>116</v>
      </c>
      <c r="C331" s="785"/>
      <c r="D331" s="793"/>
      <c r="E331" s="807">
        <v>4344.4824923076922</v>
      </c>
      <c r="F331" s="785"/>
      <c r="G331" s="793"/>
      <c r="H331" s="807">
        <v>384.27841503094606</v>
      </c>
      <c r="I331" s="785"/>
      <c r="J331" s="793"/>
      <c r="K331" s="807">
        <v>353.40671741821399</v>
      </c>
      <c r="L331" s="785"/>
      <c r="M331" s="793"/>
      <c r="N331" s="807">
        <v>344.94728328912464</v>
      </c>
      <c r="O331" s="785"/>
      <c r="P331" s="793"/>
      <c r="Q331" s="807">
        <v>355.23784916003535</v>
      </c>
      <c r="R331" s="785"/>
      <c r="S331" s="793"/>
      <c r="T331" s="807">
        <v>355.23784916003535</v>
      </c>
      <c r="U331" s="785"/>
      <c r="V331" s="793"/>
      <c r="W331" s="807">
        <v>344.94728328912464</v>
      </c>
      <c r="X331" s="785"/>
      <c r="Y331" s="793"/>
      <c r="Z331" s="807">
        <v>365.52841503094606</v>
      </c>
      <c r="AA331" s="785"/>
      <c r="AB331" s="793"/>
      <c r="AC331" s="807">
        <v>344.94728328912464</v>
      </c>
      <c r="AD331" s="785"/>
      <c r="AE331" s="793"/>
      <c r="AF331" s="807">
        <v>373.98784916003535</v>
      </c>
      <c r="AG331" s="785"/>
      <c r="AH331" s="793"/>
      <c r="AI331" s="807">
        <v>384.27841503094606</v>
      </c>
      <c r="AJ331" s="785"/>
      <c r="AK331" s="793"/>
      <c r="AL331" s="807">
        <v>353.40671741821399</v>
      </c>
      <c r="AM331" s="785"/>
      <c r="AN331" s="793"/>
      <c r="AO331" s="807">
        <v>384.27841503094606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25">
      <c r="A332" s="540" t="str">
        <f t="shared" si="6"/>
        <v>Pièces[...]</v>
      </c>
      <c r="B332" s="550" t="s">
        <v>42</v>
      </c>
      <c r="C332" s="811"/>
      <c r="D332" s="818"/>
      <c r="E332" s="819">
        <v>0</v>
      </c>
      <c r="F332" s="811"/>
      <c r="G332" s="818"/>
      <c r="H332" s="819">
        <v>0</v>
      </c>
      <c r="I332" s="811"/>
      <c r="J332" s="818"/>
      <c r="K332" s="819">
        <v>0</v>
      </c>
      <c r="L332" s="811"/>
      <c r="M332" s="818"/>
      <c r="N332" s="819">
        <v>0</v>
      </c>
      <c r="O332" s="811"/>
      <c r="P332" s="818"/>
      <c r="Q332" s="819">
        <v>0</v>
      </c>
      <c r="R332" s="811"/>
      <c r="S332" s="818"/>
      <c r="T332" s="819">
        <v>0</v>
      </c>
      <c r="U332" s="811"/>
      <c r="V332" s="818"/>
      <c r="W332" s="819">
        <v>0</v>
      </c>
      <c r="X332" s="811"/>
      <c r="Y332" s="818"/>
      <c r="Z332" s="819">
        <v>0</v>
      </c>
      <c r="AA332" s="811"/>
      <c r="AB332" s="818"/>
      <c r="AC332" s="819">
        <v>0</v>
      </c>
      <c r="AD332" s="811"/>
      <c r="AE332" s="818"/>
      <c r="AF332" s="819">
        <v>0</v>
      </c>
      <c r="AG332" s="811"/>
      <c r="AH332" s="818"/>
      <c r="AI332" s="819">
        <v>0</v>
      </c>
      <c r="AJ332" s="811"/>
      <c r="AK332" s="818"/>
      <c r="AL332" s="819">
        <v>0</v>
      </c>
      <c r="AM332" s="811"/>
      <c r="AN332" s="818"/>
      <c r="AO332" s="819">
        <v>0</v>
      </c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0.25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0.32779333960720819</v>
      </c>
      <c r="E333" s="814">
        <v>353196.66784008761</v>
      </c>
      <c r="F333" s="812" t="s">
        <v>108</v>
      </c>
      <c r="G333" s="813">
        <v>0.48408926457228679</v>
      </c>
      <c r="H333" s="814">
        <v>32920.814872207564</v>
      </c>
      <c r="I333" s="812" t="s">
        <v>108</v>
      </c>
      <c r="J333" s="813">
        <v>0.44648735794743738</v>
      </c>
      <c r="K333" s="814">
        <v>28812.378745953432</v>
      </c>
      <c r="L333" s="812" t="s">
        <v>108</v>
      </c>
      <c r="M333" s="813">
        <v>0.31137783141608966</v>
      </c>
      <c r="N333" s="814">
        <v>27497.515889089307</v>
      </c>
      <c r="O333" s="812" t="s">
        <v>108</v>
      </c>
      <c r="P333" s="813">
        <v>0.33205089339824706</v>
      </c>
      <c r="Q333" s="814">
        <v>28819.856773655971</v>
      </c>
      <c r="R333" s="812" t="s">
        <v>108</v>
      </c>
      <c r="S333" s="813">
        <v>0.25010724473490464</v>
      </c>
      <c r="T333" s="814">
        <v>28761.059166608091</v>
      </c>
      <c r="U333" s="812" t="s">
        <v>108</v>
      </c>
      <c r="V333" s="813">
        <v>0.30011061755077412</v>
      </c>
      <c r="W333" s="814">
        <v>27945.986500143157</v>
      </c>
      <c r="X333" s="812" t="s">
        <v>108</v>
      </c>
      <c r="Y333" s="813">
        <v>0.31799841712021398</v>
      </c>
      <c r="Z333" s="814">
        <v>29598.996954059439</v>
      </c>
      <c r="AA333" s="812" t="s">
        <v>108</v>
      </c>
      <c r="AB333" s="813">
        <v>0.35044875837910905</v>
      </c>
      <c r="AC333" s="814">
        <v>27325.042247444748</v>
      </c>
      <c r="AD333" s="812" t="s">
        <v>108</v>
      </c>
      <c r="AE333" s="813">
        <v>0.31286287320661804</v>
      </c>
      <c r="AF333" s="814">
        <v>30192.54362197794</v>
      </c>
      <c r="AG333" s="812" t="s">
        <v>108</v>
      </c>
      <c r="AH333" s="813">
        <v>0.30606455958861667</v>
      </c>
      <c r="AI333" s="814">
        <v>30884.095666678491</v>
      </c>
      <c r="AJ333" s="812" t="s">
        <v>108</v>
      </c>
      <c r="AK333" s="813">
        <v>0.23249061752550407</v>
      </c>
      <c r="AL333" s="814">
        <v>27799.279489354551</v>
      </c>
      <c r="AM333" s="812" t="s">
        <v>108</v>
      </c>
      <c r="AN333" s="813">
        <v>0.4427975349708928</v>
      </c>
      <c r="AO333" s="814">
        <v>32639.097912914971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25">
      <c r="A334" s="540" t="str">
        <f t="shared" si="6"/>
        <v>PiècesPublicité 2</v>
      </c>
      <c r="B334" s="631" t="s">
        <v>118</v>
      </c>
      <c r="C334" s="785"/>
      <c r="D334" s="793"/>
      <c r="E334" s="807">
        <v>36636.950000000004</v>
      </c>
      <c r="F334" s="785"/>
      <c r="G334" s="793"/>
      <c r="H334" s="807">
        <v>2479.3231392427779</v>
      </c>
      <c r="I334" s="785"/>
      <c r="J334" s="793"/>
      <c r="K334" s="807">
        <v>3509.2545237313079</v>
      </c>
      <c r="L334" s="785"/>
      <c r="M334" s="793"/>
      <c r="N334" s="807">
        <v>3530.3988806359148</v>
      </c>
      <c r="O334" s="785"/>
      <c r="P334" s="793"/>
      <c r="Q334" s="807">
        <v>3614.631435814646</v>
      </c>
      <c r="R334" s="785"/>
      <c r="S334" s="793"/>
      <c r="T334" s="807">
        <v>2612.5755286127569</v>
      </c>
      <c r="U334" s="785"/>
      <c r="V334" s="793"/>
      <c r="W334" s="807">
        <v>2535.0526389964471</v>
      </c>
      <c r="X334" s="785"/>
      <c r="Y334" s="793"/>
      <c r="Z334" s="807">
        <v>2534.5917130619696</v>
      </c>
      <c r="AA334" s="785"/>
      <c r="AB334" s="793"/>
      <c r="AC334" s="807">
        <v>2522.5905926929549</v>
      </c>
      <c r="AD334" s="785"/>
      <c r="AE334" s="793"/>
      <c r="AF334" s="807">
        <v>2516.8683985943048</v>
      </c>
      <c r="AG334" s="785"/>
      <c r="AH334" s="793"/>
      <c r="AI334" s="807">
        <v>3617.2355975606752</v>
      </c>
      <c r="AJ334" s="785"/>
      <c r="AK334" s="793"/>
      <c r="AL334" s="807">
        <v>3642.0826464127581</v>
      </c>
      <c r="AM334" s="785"/>
      <c r="AN334" s="793"/>
      <c r="AO334" s="807">
        <v>3522.344904643483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25">
      <c r="A335" s="540" t="str">
        <f t="shared" si="6"/>
        <v>PiècesService gratuit 2</v>
      </c>
      <c r="B335" s="626" t="s">
        <v>119</v>
      </c>
      <c r="C335" s="785"/>
      <c r="D335" s="793"/>
      <c r="E335" s="807">
        <v>6900</v>
      </c>
      <c r="F335" s="785"/>
      <c r="G335" s="793"/>
      <c r="H335" s="807">
        <v>575</v>
      </c>
      <c r="I335" s="785"/>
      <c r="J335" s="793"/>
      <c r="K335" s="807">
        <v>575</v>
      </c>
      <c r="L335" s="785"/>
      <c r="M335" s="793"/>
      <c r="N335" s="807">
        <v>575</v>
      </c>
      <c r="O335" s="785"/>
      <c r="P335" s="793"/>
      <c r="Q335" s="807">
        <v>575</v>
      </c>
      <c r="R335" s="785"/>
      <c r="S335" s="793"/>
      <c r="T335" s="807">
        <v>575</v>
      </c>
      <c r="U335" s="785"/>
      <c r="V335" s="793"/>
      <c r="W335" s="807">
        <v>575</v>
      </c>
      <c r="X335" s="785"/>
      <c r="Y335" s="793"/>
      <c r="Z335" s="807">
        <v>575</v>
      </c>
      <c r="AA335" s="785"/>
      <c r="AB335" s="793"/>
      <c r="AC335" s="807">
        <v>575</v>
      </c>
      <c r="AD335" s="785"/>
      <c r="AE335" s="793"/>
      <c r="AF335" s="807">
        <v>575</v>
      </c>
      <c r="AG335" s="785"/>
      <c r="AH335" s="793"/>
      <c r="AI335" s="807">
        <v>575</v>
      </c>
      <c r="AJ335" s="785"/>
      <c r="AK335" s="793"/>
      <c r="AL335" s="807">
        <v>575</v>
      </c>
      <c r="AM335" s="785"/>
      <c r="AN335" s="793"/>
      <c r="AO335" s="807">
        <v>575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25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60947.200000000004</v>
      </c>
      <c r="F336" s="811"/>
      <c r="G336" s="818"/>
      <c r="H336" s="810">
        <v>3453.9333333333334</v>
      </c>
      <c r="I336" s="811"/>
      <c r="J336" s="818"/>
      <c r="K336" s="810">
        <v>3453.9333333333334</v>
      </c>
      <c r="L336" s="811"/>
      <c r="M336" s="818"/>
      <c r="N336" s="810">
        <v>6053.9333333333334</v>
      </c>
      <c r="O336" s="811"/>
      <c r="P336" s="818"/>
      <c r="Q336" s="810">
        <v>6053.9333333333334</v>
      </c>
      <c r="R336" s="811"/>
      <c r="S336" s="818"/>
      <c r="T336" s="810">
        <v>6053.9333333333334</v>
      </c>
      <c r="U336" s="811"/>
      <c r="V336" s="818"/>
      <c r="W336" s="810">
        <v>4753.9333333333334</v>
      </c>
      <c r="X336" s="811"/>
      <c r="Y336" s="818"/>
      <c r="Z336" s="810">
        <v>4753.9333333333334</v>
      </c>
      <c r="AA336" s="811"/>
      <c r="AB336" s="818"/>
      <c r="AC336" s="810">
        <v>5403.9333333333334</v>
      </c>
      <c r="AD336" s="811"/>
      <c r="AE336" s="818"/>
      <c r="AF336" s="810">
        <v>5403.9333333333334</v>
      </c>
      <c r="AG336" s="811"/>
      <c r="AH336" s="818"/>
      <c r="AI336" s="810">
        <v>6053.9333333333334</v>
      </c>
      <c r="AJ336" s="811"/>
      <c r="AK336" s="818"/>
      <c r="AL336" s="810">
        <v>6053.9333333333334</v>
      </c>
      <c r="AM336" s="811"/>
      <c r="AN336" s="818"/>
      <c r="AO336" s="810">
        <v>3453.9333333333334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25">
      <c r="A337" s="540" t="str">
        <f t="shared" si="6"/>
        <v>PiècesInformatique</v>
      </c>
      <c r="B337" s="626" t="s">
        <v>121</v>
      </c>
      <c r="C337" s="785"/>
      <c r="D337" s="793"/>
      <c r="E337" s="807">
        <v>21921.599999999995</v>
      </c>
      <c r="F337" s="785"/>
      <c r="G337" s="793"/>
      <c r="H337" s="807">
        <v>1826.8000000000002</v>
      </c>
      <c r="I337" s="785"/>
      <c r="J337" s="793"/>
      <c r="K337" s="807">
        <v>1826.8000000000002</v>
      </c>
      <c r="L337" s="785"/>
      <c r="M337" s="793"/>
      <c r="N337" s="807">
        <v>1826.8000000000002</v>
      </c>
      <c r="O337" s="785"/>
      <c r="P337" s="793"/>
      <c r="Q337" s="807">
        <v>1826.8000000000002</v>
      </c>
      <c r="R337" s="785"/>
      <c r="S337" s="793"/>
      <c r="T337" s="807">
        <v>1826.8000000000002</v>
      </c>
      <c r="U337" s="785"/>
      <c r="V337" s="793"/>
      <c r="W337" s="807">
        <v>1826.8000000000002</v>
      </c>
      <c r="X337" s="785"/>
      <c r="Y337" s="793"/>
      <c r="Z337" s="807">
        <v>1826.8000000000002</v>
      </c>
      <c r="AA337" s="785"/>
      <c r="AB337" s="793"/>
      <c r="AC337" s="807">
        <v>1826.8000000000002</v>
      </c>
      <c r="AD337" s="785"/>
      <c r="AE337" s="793"/>
      <c r="AF337" s="807">
        <v>1826.8000000000002</v>
      </c>
      <c r="AG337" s="785"/>
      <c r="AH337" s="793"/>
      <c r="AI337" s="807">
        <v>1826.8000000000002</v>
      </c>
      <c r="AJ337" s="785"/>
      <c r="AK337" s="793"/>
      <c r="AL337" s="807">
        <v>1826.8000000000002</v>
      </c>
      <c r="AM337" s="785"/>
      <c r="AN337" s="793"/>
      <c r="AO337" s="807">
        <v>1826.8000000000002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25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4399.9999999999991</v>
      </c>
      <c r="F338" s="785"/>
      <c r="G338" s="793"/>
      <c r="H338" s="807">
        <v>366.66666666666669</v>
      </c>
      <c r="I338" s="785"/>
      <c r="J338" s="793"/>
      <c r="K338" s="807">
        <v>366.66666666666669</v>
      </c>
      <c r="L338" s="785"/>
      <c r="M338" s="793"/>
      <c r="N338" s="807">
        <v>366.66666666666669</v>
      </c>
      <c r="O338" s="785"/>
      <c r="P338" s="793"/>
      <c r="Q338" s="807">
        <v>366.66666666666669</v>
      </c>
      <c r="R338" s="785"/>
      <c r="S338" s="793"/>
      <c r="T338" s="807">
        <v>366.66666666666669</v>
      </c>
      <c r="U338" s="785"/>
      <c r="V338" s="793"/>
      <c r="W338" s="807">
        <v>366.66666666666669</v>
      </c>
      <c r="X338" s="785"/>
      <c r="Y338" s="793"/>
      <c r="Z338" s="807">
        <v>366.66666666666669</v>
      </c>
      <c r="AA338" s="785"/>
      <c r="AB338" s="793"/>
      <c r="AC338" s="807">
        <v>366.66666666666669</v>
      </c>
      <c r="AD338" s="785"/>
      <c r="AE338" s="793"/>
      <c r="AF338" s="807">
        <v>366.66666666666669</v>
      </c>
      <c r="AG338" s="785"/>
      <c r="AH338" s="793"/>
      <c r="AI338" s="807">
        <v>366.66666666666669</v>
      </c>
      <c r="AJ338" s="785"/>
      <c r="AK338" s="793"/>
      <c r="AL338" s="807">
        <v>366.66666666666669</v>
      </c>
      <c r="AM338" s="785"/>
      <c r="AN338" s="793"/>
      <c r="AO338" s="807">
        <v>366.66666666666669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25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24278.400000000005</v>
      </c>
      <c r="F339" s="811"/>
      <c r="G339" s="818"/>
      <c r="H339" s="810">
        <v>2023.2</v>
      </c>
      <c r="I339" s="811"/>
      <c r="J339" s="818"/>
      <c r="K339" s="810">
        <v>2023.2</v>
      </c>
      <c r="L339" s="811"/>
      <c r="M339" s="818"/>
      <c r="N339" s="810">
        <v>2023.2</v>
      </c>
      <c r="O339" s="811"/>
      <c r="P339" s="818"/>
      <c r="Q339" s="810">
        <v>2023.2</v>
      </c>
      <c r="R339" s="811"/>
      <c r="S339" s="818"/>
      <c r="T339" s="810">
        <v>2023.2</v>
      </c>
      <c r="U339" s="811"/>
      <c r="V339" s="818"/>
      <c r="W339" s="810">
        <v>2023.2</v>
      </c>
      <c r="X339" s="811"/>
      <c r="Y339" s="818"/>
      <c r="Z339" s="810">
        <v>2023.2</v>
      </c>
      <c r="AA339" s="811"/>
      <c r="AB339" s="818"/>
      <c r="AC339" s="810">
        <v>2023.2</v>
      </c>
      <c r="AD339" s="811"/>
      <c r="AE339" s="818"/>
      <c r="AF339" s="810">
        <v>2023.2</v>
      </c>
      <c r="AG339" s="811"/>
      <c r="AH339" s="818"/>
      <c r="AI339" s="810">
        <v>2023.2</v>
      </c>
      <c r="AJ339" s="811"/>
      <c r="AK339" s="818"/>
      <c r="AL339" s="810">
        <v>2023.2</v>
      </c>
      <c r="AM339" s="811"/>
      <c r="AN339" s="818"/>
      <c r="AO339" s="810">
        <v>2023.2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25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25">
      <c r="A341" s="540" t="str">
        <f t="shared" si="6"/>
        <v>PiècesFournitures autres</v>
      </c>
      <c r="B341" s="632" t="s">
        <v>124</v>
      </c>
      <c r="C341" s="785"/>
      <c r="D341" s="793"/>
      <c r="E341" s="807">
        <v>120</v>
      </c>
      <c r="F341" s="785"/>
      <c r="G341" s="793"/>
      <c r="H341" s="807">
        <v>10</v>
      </c>
      <c r="I341" s="785"/>
      <c r="J341" s="793"/>
      <c r="K341" s="807">
        <v>10</v>
      </c>
      <c r="L341" s="785"/>
      <c r="M341" s="793"/>
      <c r="N341" s="807">
        <v>10</v>
      </c>
      <c r="O341" s="785"/>
      <c r="P341" s="793"/>
      <c r="Q341" s="807">
        <v>10</v>
      </c>
      <c r="R341" s="785"/>
      <c r="S341" s="793"/>
      <c r="T341" s="807">
        <v>10</v>
      </c>
      <c r="U341" s="785"/>
      <c r="V341" s="793"/>
      <c r="W341" s="807">
        <v>10</v>
      </c>
      <c r="X341" s="785"/>
      <c r="Y341" s="793"/>
      <c r="Z341" s="807">
        <v>10</v>
      </c>
      <c r="AA341" s="785"/>
      <c r="AB341" s="793"/>
      <c r="AC341" s="807">
        <v>10</v>
      </c>
      <c r="AD341" s="785"/>
      <c r="AE341" s="793"/>
      <c r="AF341" s="807">
        <v>10</v>
      </c>
      <c r="AG341" s="785"/>
      <c r="AH341" s="793"/>
      <c r="AI341" s="807">
        <v>10</v>
      </c>
      <c r="AJ341" s="785"/>
      <c r="AK341" s="793"/>
      <c r="AL341" s="807">
        <v>10</v>
      </c>
      <c r="AM341" s="785"/>
      <c r="AN341" s="793"/>
      <c r="AO341" s="807">
        <v>10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25">
      <c r="A342" s="540" t="str">
        <f t="shared" si="6"/>
        <v>PiècesUniformes</v>
      </c>
      <c r="B342" s="626" t="s">
        <v>125</v>
      </c>
      <c r="C342" s="785"/>
      <c r="D342" s="793"/>
      <c r="E342" s="807">
        <v>240</v>
      </c>
      <c r="F342" s="785"/>
      <c r="G342" s="793"/>
      <c r="H342" s="807">
        <v>20</v>
      </c>
      <c r="I342" s="785"/>
      <c r="J342" s="793"/>
      <c r="K342" s="807">
        <v>20</v>
      </c>
      <c r="L342" s="785"/>
      <c r="M342" s="793"/>
      <c r="N342" s="807">
        <v>20</v>
      </c>
      <c r="O342" s="785"/>
      <c r="P342" s="793"/>
      <c r="Q342" s="807">
        <v>20</v>
      </c>
      <c r="R342" s="785"/>
      <c r="S342" s="793"/>
      <c r="T342" s="807">
        <v>20</v>
      </c>
      <c r="U342" s="785"/>
      <c r="V342" s="793"/>
      <c r="W342" s="807">
        <v>20</v>
      </c>
      <c r="X342" s="785"/>
      <c r="Y342" s="793"/>
      <c r="Z342" s="807">
        <v>20</v>
      </c>
      <c r="AA342" s="785"/>
      <c r="AB342" s="793"/>
      <c r="AC342" s="807">
        <v>20</v>
      </c>
      <c r="AD342" s="785"/>
      <c r="AE342" s="793"/>
      <c r="AF342" s="807">
        <v>20</v>
      </c>
      <c r="AG342" s="785"/>
      <c r="AH342" s="793"/>
      <c r="AI342" s="807">
        <v>20</v>
      </c>
      <c r="AJ342" s="785"/>
      <c r="AK342" s="793"/>
      <c r="AL342" s="807">
        <v>20</v>
      </c>
      <c r="AM342" s="785"/>
      <c r="AN342" s="793"/>
      <c r="AO342" s="807">
        <v>20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25">
      <c r="A343" s="540" t="str">
        <f t="shared" si="6"/>
        <v>PiècesPapeterie</v>
      </c>
      <c r="B343" s="626" t="s">
        <v>126</v>
      </c>
      <c r="C343" s="785"/>
      <c r="D343" s="793"/>
      <c r="E343" s="807">
        <v>3780</v>
      </c>
      <c r="F343" s="785"/>
      <c r="G343" s="793"/>
      <c r="H343" s="807">
        <v>315</v>
      </c>
      <c r="I343" s="785"/>
      <c r="J343" s="793"/>
      <c r="K343" s="807">
        <v>315</v>
      </c>
      <c r="L343" s="785"/>
      <c r="M343" s="793"/>
      <c r="N343" s="807">
        <v>315</v>
      </c>
      <c r="O343" s="785"/>
      <c r="P343" s="793"/>
      <c r="Q343" s="807">
        <v>315</v>
      </c>
      <c r="R343" s="785"/>
      <c r="S343" s="793"/>
      <c r="T343" s="807">
        <v>315</v>
      </c>
      <c r="U343" s="785"/>
      <c r="V343" s="793"/>
      <c r="W343" s="807">
        <v>315</v>
      </c>
      <c r="X343" s="785"/>
      <c r="Y343" s="793"/>
      <c r="Z343" s="807">
        <v>315</v>
      </c>
      <c r="AA343" s="785"/>
      <c r="AB343" s="793"/>
      <c r="AC343" s="807">
        <v>315</v>
      </c>
      <c r="AD343" s="785"/>
      <c r="AE343" s="793"/>
      <c r="AF343" s="807">
        <v>315</v>
      </c>
      <c r="AG343" s="785"/>
      <c r="AH343" s="793"/>
      <c r="AI343" s="807">
        <v>315</v>
      </c>
      <c r="AJ343" s="785"/>
      <c r="AK343" s="793"/>
      <c r="AL343" s="807">
        <v>315</v>
      </c>
      <c r="AM343" s="785"/>
      <c r="AN343" s="793"/>
      <c r="AO343" s="807">
        <v>315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25">
      <c r="A344" s="540" t="str">
        <f t="shared" si="6"/>
        <v>PiècesTéléphone</v>
      </c>
      <c r="B344" s="626" t="s">
        <v>127</v>
      </c>
      <c r="C344" s="785"/>
      <c r="D344" s="793"/>
      <c r="E344" s="807">
        <v>1420.8000000000002</v>
      </c>
      <c r="F344" s="785"/>
      <c r="G344" s="793"/>
      <c r="H344" s="807">
        <v>118.4</v>
      </c>
      <c r="I344" s="785"/>
      <c r="J344" s="793"/>
      <c r="K344" s="807">
        <v>118.4</v>
      </c>
      <c r="L344" s="785"/>
      <c r="M344" s="793"/>
      <c r="N344" s="807">
        <v>118.4</v>
      </c>
      <c r="O344" s="785"/>
      <c r="P344" s="793"/>
      <c r="Q344" s="807">
        <v>118.4</v>
      </c>
      <c r="R344" s="785"/>
      <c r="S344" s="793"/>
      <c r="T344" s="807">
        <v>118.4</v>
      </c>
      <c r="U344" s="785"/>
      <c r="V344" s="793"/>
      <c r="W344" s="807">
        <v>118.4</v>
      </c>
      <c r="X344" s="785"/>
      <c r="Y344" s="793"/>
      <c r="Z344" s="807">
        <v>118.4</v>
      </c>
      <c r="AA344" s="785"/>
      <c r="AB344" s="793"/>
      <c r="AC344" s="807">
        <v>118.4</v>
      </c>
      <c r="AD344" s="785"/>
      <c r="AE344" s="793"/>
      <c r="AF344" s="807">
        <v>118.4</v>
      </c>
      <c r="AG344" s="785"/>
      <c r="AH344" s="793"/>
      <c r="AI344" s="807">
        <v>118.4</v>
      </c>
      <c r="AJ344" s="785"/>
      <c r="AK344" s="793"/>
      <c r="AL344" s="807">
        <v>118.4</v>
      </c>
      <c r="AM344" s="785"/>
      <c r="AN344" s="793"/>
      <c r="AO344" s="807">
        <v>118.4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25">
      <c r="A345" s="540" t="str">
        <f t="shared" si="6"/>
        <v>PiècesFrais postaux</v>
      </c>
      <c r="B345" s="626" t="s">
        <v>128</v>
      </c>
      <c r="C345" s="785"/>
      <c r="D345" s="793"/>
      <c r="E345" s="807">
        <v>7080</v>
      </c>
      <c r="F345" s="785"/>
      <c r="G345" s="793"/>
      <c r="H345" s="807">
        <v>590</v>
      </c>
      <c r="I345" s="785"/>
      <c r="J345" s="793"/>
      <c r="K345" s="807">
        <v>590</v>
      </c>
      <c r="L345" s="785"/>
      <c r="M345" s="793"/>
      <c r="N345" s="807">
        <v>590</v>
      </c>
      <c r="O345" s="785"/>
      <c r="P345" s="793"/>
      <c r="Q345" s="807">
        <v>590</v>
      </c>
      <c r="R345" s="785"/>
      <c r="S345" s="793"/>
      <c r="T345" s="807">
        <v>590</v>
      </c>
      <c r="U345" s="785"/>
      <c r="V345" s="793"/>
      <c r="W345" s="807">
        <v>590</v>
      </c>
      <c r="X345" s="785"/>
      <c r="Y345" s="793"/>
      <c r="Z345" s="807">
        <v>590</v>
      </c>
      <c r="AA345" s="785"/>
      <c r="AB345" s="793"/>
      <c r="AC345" s="807">
        <v>590</v>
      </c>
      <c r="AD345" s="785"/>
      <c r="AE345" s="793"/>
      <c r="AF345" s="807">
        <v>590</v>
      </c>
      <c r="AG345" s="785"/>
      <c r="AH345" s="793"/>
      <c r="AI345" s="807">
        <v>590</v>
      </c>
      <c r="AJ345" s="785"/>
      <c r="AK345" s="793"/>
      <c r="AL345" s="807">
        <v>590</v>
      </c>
      <c r="AM345" s="785"/>
      <c r="AN345" s="793"/>
      <c r="AO345" s="807">
        <v>590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25">
      <c r="A346" s="540" t="str">
        <f t="shared" si="6"/>
        <v>PiècesDivers</v>
      </c>
      <c r="B346" s="626" t="s">
        <v>129</v>
      </c>
      <c r="C346" s="785"/>
      <c r="D346" s="793"/>
      <c r="E346" s="807">
        <v>4178.3999999999996</v>
      </c>
      <c r="F346" s="785"/>
      <c r="G346" s="793"/>
      <c r="H346" s="807">
        <v>348.20000000000005</v>
      </c>
      <c r="I346" s="785"/>
      <c r="J346" s="793"/>
      <c r="K346" s="807">
        <v>348.20000000000005</v>
      </c>
      <c r="L346" s="785"/>
      <c r="M346" s="793"/>
      <c r="N346" s="807">
        <v>348.20000000000005</v>
      </c>
      <c r="O346" s="785"/>
      <c r="P346" s="793"/>
      <c r="Q346" s="807">
        <v>348.20000000000005</v>
      </c>
      <c r="R346" s="785"/>
      <c r="S346" s="793"/>
      <c r="T346" s="807">
        <v>348.20000000000005</v>
      </c>
      <c r="U346" s="785"/>
      <c r="V346" s="793"/>
      <c r="W346" s="807">
        <v>348.20000000000005</v>
      </c>
      <c r="X346" s="785"/>
      <c r="Y346" s="793"/>
      <c r="Z346" s="807">
        <v>348.20000000000005</v>
      </c>
      <c r="AA346" s="785"/>
      <c r="AB346" s="793"/>
      <c r="AC346" s="807">
        <v>348.20000000000005</v>
      </c>
      <c r="AD346" s="785"/>
      <c r="AE346" s="793"/>
      <c r="AF346" s="807">
        <v>348.20000000000005</v>
      </c>
      <c r="AG346" s="785"/>
      <c r="AH346" s="793"/>
      <c r="AI346" s="807">
        <v>348.20000000000005</v>
      </c>
      <c r="AJ346" s="785"/>
      <c r="AK346" s="793"/>
      <c r="AL346" s="807">
        <v>348.20000000000005</v>
      </c>
      <c r="AM346" s="785"/>
      <c r="AN346" s="793"/>
      <c r="AO346" s="807">
        <v>348.20000000000005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25">
      <c r="A347" s="540" t="str">
        <f t="shared" si="6"/>
        <v>PiècesFormation</v>
      </c>
      <c r="B347" s="626" t="s">
        <v>130</v>
      </c>
      <c r="C347" s="785"/>
      <c r="D347" s="793"/>
      <c r="E347" s="807">
        <v>3076.9787199999987</v>
      </c>
      <c r="F347" s="785"/>
      <c r="G347" s="793"/>
      <c r="H347" s="807">
        <v>256.41489333333328</v>
      </c>
      <c r="I347" s="785"/>
      <c r="J347" s="793"/>
      <c r="K347" s="807">
        <v>256.41489333333328</v>
      </c>
      <c r="L347" s="785"/>
      <c r="M347" s="793"/>
      <c r="N347" s="807">
        <v>256.41489333333328</v>
      </c>
      <c r="O347" s="785"/>
      <c r="P347" s="793"/>
      <c r="Q347" s="807">
        <v>256.41489333333328</v>
      </c>
      <c r="R347" s="785"/>
      <c r="S347" s="793"/>
      <c r="T347" s="807">
        <v>256.41489333333328</v>
      </c>
      <c r="U347" s="785"/>
      <c r="V347" s="793"/>
      <c r="W347" s="807">
        <v>256.41489333333328</v>
      </c>
      <c r="X347" s="785"/>
      <c r="Y347" s="793"/>
      <c r="Z347" s="807">
        <v>256.41489333333328</v>
      </c>
      <c r="AA347" s="785"/>
      <c r="AB347" s="793"/>
      <c r="AC347" s="807">
        <v>256.41489333333328</v>
      </c>
      <c r="AD347" s="785"/>
      <c r="AE347" s="793"/>
      <c r="AF347" s="807">
        <v>256.41489333333328</v>
      </c>
      <c r="AG347" s="785"/>
      <c r="AH347" s="793"/>
      <c r="AI347" s="807">
        <v>256.41489333333328</v>
      </c>
      <c r="AJ347" s="785"/>
      <c r="AK347" s="793"/>
      <c r="AL347" s="807">
        <v>256.41489333333328</v>
      </c>
      <c r="AM347" s="785"/>
      <c r="AN347" s="793"/>
      <c r="AO347" s="807">
        <v>256.41489333333328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25">
      <c r="A348" s="540" t="str">
        <f t="shared" si="6"/>
        <v>PiècesFrais bancaires</v>
      </c>
      <c r="B348" s="626" t="s">
        <v>131</v>
      </c>
      <c r="C348" s="785"/>
      <c r="D348" s="793"/>
      <c r="E348" s="807">
        <v>15705.270201176472</v>
      </c>
      <c r="F348" s="785"/>
      <c r="G348" s="793"/>
      <c r="H348" s="807">
        <v>879.17890384556199</v>
      </c>
      <c r="I348" s="785"/>
      <c r="J348" s="793"/>
      <c r="K348" s="807">
        <v>855.3704437102042</v>
      </c>
      <c r="L348" s="785"/>
      <c r="M348" s="793"/>
      <c r="N348" s="807">
        <v>1371.6028449767423</v>
      </c>
      <c r="O348" s="785"/>
      <c r="P348" s="793"/>
      <c r="Q348" s="807">
        <v>1814.843132016204</v>
      </c>
      <c r="R348" s="785"/>
      <c r="S348" s="793"/>
      <c r="T348" s="807">
        <v>1880.851754670854</v>
      </c>
      <c r="U348" s="785"/>
      <c r="V348" s="793"/>
      <c r="W348" s="807">
        <v>1315.6194111732602</v>
      </c>
      <c r="X348" s="785"/>
      <c r="Y348" s="793"/>
      <c r="Z348" s="807">
        <v>1194.5033640972972</v>
      </c>
      <c r="AA348" s="785"/>
      <c r="AB348" s="793"/>
      <c r="AC348" s="807">
        <v>1396.7275744878498</v>
      </c>
      <c r="AD348" s="785"/>
      <c r="AE348" s="793"/>
      <c r="AF348" s="807">
        <v>1387.5689334780946</v>
      </c>
      <c r="AG348" s="785"/>
      <c r="AH348" s="793"/>
      <c r="AI348" s="807">
        <v>1380.8281895631603</v>
      </c>
      <c r="AJ348" s="785"/>
      <c r="AK348" s="793"/>
      <c r="AL348" s="807">
        <v>1275.9239043321058</v>
      </c>
      <c r="AM348" s="785"/>
      <c r="AN348" s="793"/>
      <c r="AO348" s="807">
        <v>952.25174482513671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25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25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25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0.25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0.17697072191426474</v>
      </c>
      <c r="E352" s="814">
        <v>190685.59892117642</v>
      </c>
      <c r="F352" s="812" t="s">
        <v>108</v>
      </c>
      <c r="G352" s="813">
        <v>0.19501487005547893</v>
      </c>
      <c r="H352" s="814">
        <v>13262.116936421673</v>
      </c>
      <c r="I352" s="812" t="s">
        <v>108</v>
      </c>
      <c r="J352" s="813">
        <v>0.22110596192590981</v>
      </c>
      <c r="K352" s="814">
        <v>14268.239860774846</v>
      </c>
      <c r="L352" s="812" t="s">
        <v>108</v>
      </c>
      <c r="M352" s="813">
        <v>0.19709864626054224</v>
      </c>
      <c r="N352" s="814">
        <v>17405.616618945991</v>
      </c>
      <c r="O352" s="812" t="s">
        <v>108</v>
      </c>
      <c r="P352" s="813">
        <v>0.20661790319559822</v>
      </c>
      <c r="Q352" s="814">
        <v>17933.089461164182</v>
      </c>
      <c r="R352" s="812" t="s">
        <v>108</v>
      </c>
      <c r="S352" s="813">
        <v>0.14780691360533016</v>
      </c>
      <c r="T352" s="814">
        <v>16997.042176616946</v>
      </c>
      <c r="U352" s="812" t="s">
        <v>108</v>
      </c>
      <c r="V352" s="813">
        <v>0.161667270231384</v>
      </c>
      <c r="W352" s="814">
        <v>15054.286943503041</v>
      </c>
      <c r="X352" s="812" t="s">
        <v>108</v>
      </c>
      <c r="Y352" s="813">
        <v>0.16043037341103639</v>
      </c>
      <c r="Z352" s="814">
        <v>14932.709970492602</v>
      </c>
      <c r="AA352" s="812" t="s">
        <v>108</v>
      </c>
      <c r="AB352" s="813">
        <v>0.20229080551818304</v>
      </c>
      <c r="AC352" s="814">
        <v>15772.933060514139</v>
      </c>
      <c r="AD352" s="812" t="s">
        <v>108</v>
      </c>
      <c r="AE352" s="813">
        <v>0.16328897482461943</v>
      </c>
      <c r="AF352" s="814">
        <v>15758.052225405734</v>
      </c>
      <c r="AG352" s="812" t="s">
        <v>108</v>
      </c>
      <c r="AH352" s="813">
        <v>0.17344343299567619</v>
      </c>
      <c r="AI352" s="814">
        <v>17501.678680457168</v>
      </c>
      <c r="AJ352" s="812" t="s">
        <v>108</v>
      </c>
      <c r="AK352" s="813">
        <v>0.1457003059874393</v>
      </c>
      <c r="AL352" s="814">
        <v>17421.621444078195</v>
      </c>
      <c r="AM352" s="812" t="s">
        <v>108</v>
      </c>
      <c r="AN352" s="813">
        <v>0.19506166026492805</v>
      </c>
      <c r="AO352" s="814">
        <v>14378.211542801953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25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0.25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0.50476406152147291</v>
      </c>
      <c r="E354" s="823">
        <v>543882.26676126407</v>
      </c>
      <c r="F354" s="812" t="s">
        <v>108</v>
      </c>
      <c r="G354" s="850">
        <v>0.67910413462776564</v>
      </c>
      <c r="H354" s="823">
        <v>46182.931808629233</v>
      </c>
      <c r="I354" s="812" t="s">
        <v>108</v>
      </c>
      <c r="J354" s="850">
        <v>0.66759331987334714</v>
      </c>
      <c r="K354" s="823">
        <v>43080.618606728276</v>
      </c>
      <c r="L354" s="812" t="s">
        <v>108</v>
      </c>
      <c r="M354" s="850">
        <v>0.50847647767663195</v>
      </c>
      <c r="N354" s="823">
        <v>44903.132508035298</v>
      </c>
      <c r="O354" s="812" t="s">
        <v>108</v>
      </c>
      <c r="P354" s="850">
        <v>0.53866879659384526</v>
      </c>
      <c r="Q354" s="823">
        <v>46752.946234820149</v>
      </c>
      <c r="R354" s="812" t="s">
        <v>108</v>
      </c>
      <c r="S354" s="850">
        <v>0.3979141583402348</v>
      </c>
      <c r="T354" s="823">
        <v>45758.101343225033</v>
      </c>
      <c r="U354" s="812" t="s">
        <v>108</v>
      </c>
      <c r="V354" s="850">
        <v>0.46177788778215811</v>
      </c>
      <c r="W354" s="823">
        <v>43000.273443646198</v>
      </c>
      <c r="X354" s="812" t="s">
        <v>108</v>
      </c>
      <c r="Y354" s="850">
        <v>0.47842879053125037</v>
      </c>
      <c r="Z354" s="823">
        <v>44531.70692455204</v>
      </c>
      <c r="AA354" s="812" t="s">
        <v>108</v>
      </c>
      <c r="AB354" s="850">
        <v>0.55273956389729206</v>
      </c>
      <c r="AC354" s="823">
        <v>43097.975307958885</v>
      </c>
      <c r="AD354" s="812" t="s">
        <v>108</v>
      </c>
      <c r="AE354" s="850">
        <v>0.47615184803123745</v>
      </c>
      <c r="AF354" s="823">
        <v>45950.595847383673</v>
      </c>
      <c r="AG354" s="812" t="s">
        <v>108</v>
      </c>
      <c r="AH354" s="850">
        <v>0.47950799258429283</v>
      </c>
      <c r="AI354" s="823">
        <v>48385.774347135659</v>
      </c>
      <c r="AJ354" s="812" t="s">
        <v>108</v>
      </c>
      <c r="AK354" s="850">
        <v>0.37819092351294337</v>
      </c>
      <c r="AL354" s="823">
        <v>45220.900933432742</v>
      </c>
      <c r="AM354" s="812" t="s">
        <v>108</v>
      </c>
      <c r="AN354" s="850">
        <v>0.63785919523582091</v>
      </c>
      <c r="AO354" s="823">
        <v>47017.309455716924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25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533615.73323873593</v>
      </c>
      <c r="F356" s="851"/>
      <c r="G356" s="852"/>
      <c r="H356" s="832">
        <v>21822.738387950085</v>
      </c>
      <c r="I356" s="851"/>
      <c r="J356" s="852"/>
      <c r="K356" s="832">
        <v>21450.612195433343</v>
      </c>
      <c r="L356" s="851"/>
      <c r="M356" s="852"/>
      <c r="N356" s="832">
        <v>43406.031198435434</v>
      </c>
      <c r="O356" s="851"/>
      <c r="P356" s="852"/>
      <c r="Q356" s="832">
        <v>40040.546409365328</v>
      </c>
      <c r="R356" s="851"/>
      <c r="S356" s="852"/>
      <c r="T356" s="832">
        <v>69236.804930252591</v>
      </c>
      <c r="U356" s="851"/>
      <c r="V356" s="852"/>
      <c r="W356" s="832">
        <v>50118.679588447463</v>
      </c>
      <c r="X356" s="851"/>
      <c r="Y356" s="852"/>
      <c r="Z356" s="832">
        <v>48547.363160473047</v>
      </c>
      <c r="AA356" s="851"/>
      <c r="AB356" s="852"/>
      <c r="AC356" s="832">
        <v>34873.601403649882</v>
      </c>
      <c r="AD356" s="851"/>
      <c r="AE356" s="852"/>
      <c r="AF356" s="832">
        <v>50553.483759525952</v>
      </c>
      <c r="AG356" s="851"/>
      <c r="AH356" s="852"/>
      <c r="AI356" s="832">
        <v>52521.353574470173</v>
      </c>
      <c r="AJ356" s="851"/>
      <c r="AK356" s="852"/>
      <c r="AL356" s="832">
        <v>74350.717849441309</v>
      </c>
      <c r="AM356" s="851"/>
      <c r="AN356" s="852"/>
      <c r="AO356" s="832">
        <v>26693.800781291269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0.25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0.25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25">
      <c r="A359" s="540"/>
      <c r="B359" s="618" t="s">
        <v>2934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" thickTop="1">
      <c r="A361" s="540"/>
      <c r="B361" s="658" t="s">
        <v>293</v>
      </c>
      <c r="C361" s="768">
        <v>2025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0.25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0.25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25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25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25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25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25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25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25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25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25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25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25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25">
      <c r="A379" s="540" t="str">
        <f t="shared" si="7"/>
        <v>Boutique[...]</v>
      </c>
      <c r="B379" s="550" t="s">
        <v>42</v>
      </c>
      <c r="C379" s="811"/>
      <c r="D379" s="818"/>
      <c r="E379" s="819">
        <v>0</v>
      </c>
      <c r="F379" s="811"/>
      <c r="G379" s="818"/>
      <c r="H379" s="819">
        <v>0</v>
      </c>
      <c r="I379" s="811"/>
      <c r="J379" s="818"/>
      <c r="K379" s="819">
        <v>0</v>
      </c>
      <c r="L379" s="811"/>
      <c r="M379" s="818"/>
      <c r="N379" s="819">
        <v>0</v>
      </c>
      <c r="O379" s="811"/>
      <c r="P379" s="818"/>
      <c r="Q379" s="819">
        <v>0</v>
      </c>
      <c r="R379" s="811"/>
      <c r="S379" s="818"/>
      <c r="T379" s="819">
        <v>0</v>
      </c>
      <c r="U379" s="811"/>
      <c r="V379" s="818"/>
      <c r="W379" s="819">
        <v>0</v>
      </c>
      <c r="X379" s="811"/>
      <c r="Y379" s="818"/>
      <c r="Z379" s="819">
        <v>0</v>
      </c>
      <c r="AA379" s="811"/>
      <c r="AB379" s="818"/>
      <c r="AC379" s="819">
        <v>0</v>
      </c>
      <c r="AD379" s="811"/>
      <c r="AE379" s="818"/>
      <c r="AF379" s="819">
        <v>0</v>
      </c>
      <c r="AG379" s="811"/>
      <c r="AH379" s="818"/>
      <c r="AI379" s="819">
        <v>0</v>
      </c>
      <c r="AJ379" s="811"/>
      <c r="AK379" s="818"/>
      <c r="AL379" s="819">
        <v>0</v>
      </c>
      <c r="AM379" s="811"/>
      <c r="AN379" s="818"/>
      <c r="AO379" s="819">
        <v>0</v>
      </c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0.25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25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25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25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25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25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25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25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25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25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0.25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25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0.25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1.75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25">
      <c r="A404" s="539"/>
      <c r="B404" s="605"/>
      <c r="C404" s="793"/>
      <c r="D404" s="793"/>
      <c r="E404" s="806">
        <v>0</v>
      </c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25">
      <c r="A405" s="539"/>
      <c r="B405" s="618" t="s">
        <v>2934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2664178.4965017028</v>
      </c>
      <c r="I406" s="904"/>
      <c r="J406" s="904"/>
      <c r="K406" s="905">
        <v>2592031.6476066792</v>
      </c>
      <c r="L406" s="904"/>
      <c r="M406" s="904"/>
      <c r="N406" s="905">
        <v>4156372.2575052795</v>
      </c>
      <c r="O406" s="904"/>
      <c r="P406" s="904"/>
      <c r="Q406" s="905">
        <v>5499524.6424733456</v>
      </c>
      <c r="R406" s="904"/>
      <c r="S406" s="904"/>
      <c r="T406" s="905">
        <v>5699550.7717298605</v>
      </c>
      <c r="U406" s="904"/>
      <c r="V406" s="904"/>
      <c r="W406" s="905">
        <v>3986725.4884038181</v>
      </c>
      <c r="X406" s="904"/>
      <c r="Y406" s="904"/>
      <c r="Z406" s="905">
        <v>3619707.1639312035</v>
      </c>
      <c r="AA406" s="904"/>
      <c r="AB406" s="904"/>
      <c r="AC406" s="905">
        <v>4232507.8014783328</v>
      </c>
      <c r="AD406" s="904"/>
      <c r="AE406" s="904"/>
      <c r="AF406" s="905">
        <v>4204754.3438730137</v>
      </c>
      <c r="AG406" s="904"/>
      <c r="AH406" s="904"/>
      <c r="AI406" s="905">
        <v>4184327.8471610914</v>
      </c>
      <c r="AJ406" s="904"/>
      <c r="AK406" s="904"/>
      <c r="AL406" s="905">
        <v>3866436.0737336539</v>
      </c>
      <c r="AM406" s="904"/>
      <c r="AN406" s="904"/>
      <c r="AO406" s="905">
        <v>2885611.3479549596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" thickTop="1">
      <c r="A407" s="539"/>
      <c r="B407" s="659" t="s">
        <v>293</v>
      </c>
      <c r="C407" s="768">
        <v>2025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25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25">
      <c r="A409" s="539" t="str">
        <f>B409</f>
        <v>Ventes nettes</v>
      </c>
      <c r="B409" s="636" t="s">
        <v>85</v>
      </c>
      <c r="C409" s="911"/>
      <c r="D409" s="912"/>
      <c r="E409" s="913">
        <v>47591727.882352948</v>
      </c>
      <c r="F409" s="911"/>
      <c r="G409" s="912"/>
      <c r="H409" s="913">
        <v>2664178.4965017028</v>
      </c>
      <c r="I409" s="911"/>
      <c r="J409" s="912"/>
      <c r="K409" s="913">
        <v>2592031.6476066792</v>
      </c>
      <c r="L409" s="911"/>
      <c r="M409" s="912"/>
      <c r="N409" s="913">
        <v>4156372.2575052795</v>
      </c>
      <c r="O409" s="911"/>
      <c r="P409" s="912"/>
      <c r="Q409" s="913">
        <v>5499524.6424733456</v>
      </c>
      <c r="R409" s="911"/>
      <c r="S409" s="912"/>
      <c r="T409" s="913">
        <v>5699550.7717298605</v>
      </c>
      <c r="U409" s="911"/>
      <c r="V409" s="912"/>
      <c r="W409" s="913">
        <v>3986725.4884038181</v>
      </c>
      <c r="X409" s="911"/>
      <c r="Y409" s="912"/>
      <c r="Z409" s="913">
        <v>3619707.1639312035</v>
      </c>
      <c r="AA409" s="911"/>
      <c r="AB409" s="912"/>
      <c r="AC409" s="913">
        <v>4232507.8014783328</v>
      </c>
      <c r="AD409" s="911"/>
      <c r="AE409" s="912"/>
      <c r="AF409" s="913">
        <v>4204754.3438730137</v>
      </c>
      <c r="AG409" s="911"/>
      <c r="AH409" s="912"/>
      <c r="AI409" s="913">
        <v>4184327.8471610914</v>
      </c>
      <c r="AJ409" s="911"/>
      <c r="AK409" s="912"/>
      <c r="AL409" s="913">
        <v>3866436.0737336539</v>
      </c>
      <c r="AM409" s="911"/>
      <c r="AN409" s="912"/>
      <c r="AO409" s="913">
        <v>2885611.3479549596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25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4548200.7754636509</v>
      </c>
      <c r="F410" s="914"/>
      <c r="G410" s="915"/>
      <c r="H410" s="916">
        <v>253106.19446959981</v>
      </c>
      <c r="I410" s="914"/>
      <c r="J410" s="915"/>
      <c r="K410" s="916">
        <v>247763.06690191029</v>
      </c>
      <c r="L410" s="914"/>
      <c r="M410" s="915"/>
      <c r="N410" s="916">
        <v>368486.93420153094</v>
      </c>
      <c r="O410" s="914"/>
      <c r="P410" s="915"/>
      <c r="Q410" s="916">
        <v>481039.74899517075</v>
      </c>
      <c r="R410" s="914"/>
      <c r="S410" s="915"/>
      <c r="T410" s="916">
        <v>542294.20025272341</v>
      </c>
      <c r="U410" s="914"/>
      <c r="V410" s="915"/>
      <c r="W410" s="916">
        <v>383835.07805278909</v>
      </c>
      <c r="X410" s="914"/>
      <c r="Y410" s="915"/>
      <c r="Z410" s="916">
        <v>361388.07582851994</v>
      </c>
      <c r="AA410" s="914"/>
      <c r="AB410" s="915"/>
      <c r="AC410" s="916">
        <v>379119.48980988597</v>
      </c>
      <c r="AD410" s="914"/>
      <c r="AE410" s="915"/>
      <c r="AF410" s="916">
        <v>391562.56451657496</v>
      </c>
      <c r="AG410" s="914"/>
      <c r="AH410" s="915"/>
      <c r="AI410" s="916">
        <v>424106.35146047897</v>
      </c>
      <c r="AJ410" s="914"/>
      <c r="AK410" s="915"/>
      <c r="AL410" s="916">
        <v>435746.48280109488</v>
      </c>
      <c r="AM410" s="914"/>
      <c r="AN410" s="915"/>
      <c r="AO410" s="916">
        <v>279752.58817337186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25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/>
      <c r="H411" s="919"/>
      <c r="I411" s="917"/>
      <c r="J411" s="918"/>
      <c r="K411" s="919"/>
      <c r="L411" s="917"/>
      <c r="M411" s="918"/>
      <c r="N411" s="919"/>
      <c r="O411" s="917"/>
      <c r="P411" s="918"/>
      <c r="Q411" s="919"/>
      <c r="R411" s="917"/>
      <c r="S411" s="918"/>
      <c r="T411" s="919"/>
      <c r="U411" s="917"/>
      <c r="V411" s="918"/>
      <c r="W411" s="919"/>
      <c r="X411" s="917"/>
      <c r="Y411" s="918"/>
      <c r="Z411" s="919"/>
      <c r="AA411" s="917"/>
      <c r="AB411" s="918"/>
      <c r="AC411" s="919"/>
      <c r="AD411" s="917"/>
      <c r="AE411" s="918"/>
      <c r="AF411" s="919"/>
      <c r="AG411" s="917"/>
      <c r="AH411" s="918"/>
      <c r="AI411" s="919"/>
      <c r="AJ411" s="917"/>
      <c r="AK411" s="918"/>
      <c r="AL411" s="919"/>
      <c r="AM411" s="917"/>
      <c r="AN411" s="918"/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25">
      <c r="A412" s="539" t="str">
        <f t="shared" si="8"/>
        <v>Comm. vendeurs</v>
      </c>
      <c r="B412" s="639" t="s">
        <v>100</v>
      </c>
      <c r="C412" s="920">
        <v>0.30672998257034112</v>
      </c>
      <c r="D412" s="921">
        <v>862.31</v>
      </c>
      <c r="E412" s="919">
        <v>431155</v>
      </c>
      <c r="F412" s="920"/>
      <c r="G412" s="921">
        <v>1012.9063465497049</v>
      </c>
      <c r="H412" s="919">
        <v>25322.658663742623</v>
      </c>
      <c r="I412" s="920"/>
      <c r="J412" s="921">
        <v>930.8776025265912</v>
      </c>
      <c r="K412" s="919">
        <v>24202.817665691371</v>
      </c>
      <c r="L412" s="920"/>
      <c r="M412" s="921">
        <v>942.608797191142</v>
      </c>
      <c r="N412" s="919">
        <v>37704.35188764568</v>
      </c>
      <c r="O412" s="920"/>
      <c r="P412" s="921">
        <v>897.37536110876499</v>
      </c>
      <c r="Q412" s="919">
        <v>49355.644860982073</v>
      </c>
      <c r="R412" s="920"/>
      <c r="S412" s="921">
        <v>929.70199313379658</v>
      </c>
      <c r="T412" s="919">
        <v>51133.60962235881</v>
      </c>
      <c r="U412" s="920"/>
      <c r="V412" s="921">
        <v>940.93309827012524</v>
      </c>
      <c r="W412" s="919">
        <v>35755.457734264761</v>
      </c>
      <c r="X412" s="920"/>
      <c r="Y412" s="921">
        <v>895.16270892623902</v>
      </c>
      <c r="Z412" s="919">
        <v>32225.857521344606</v>
      </c>
      <c r="AA412" s="920"/>
      <c r="AB412" s="921">
        <v>883.99532357445457</v>
      </c>
      <c r="AC412" s="919">
        <v>38011.798913701547</v>
      </c>
      <c r="AD412" s="920"/>
      <c r="AE412" s="921">
        <v>942.12844423957608</v>
      </c>
      <c r="AF412" s="919">
        <v>37685.137769583045</v>
      </c>
      <c r="AG412" s="920"/>
      <c r="AH412" s="921">
        <v>952.41548231654656</v>
      </c>
      <c r="AI412" s="919">
        <v>38096.619292661861</v>
      </c>
      <c r="AJ412" s="920"/>
      <c r="AK412" s="921">
        <v>924.49230415952172</v>
      </c>
      <c r="AL412" s="919">
        <v>33281.722949742783</v>
      </c>
      <c r="AM412" s="920"/>
      <c r="AN412" s="921">
        <v>1013.5472542243153</v>
      </c>
      <c r="AO412" s="919">
        <v>28379.32311828083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25">
      <c r="A413" s="539" t="str">
        <f t="shared" si="8"/>
        <v>Comm. F&amp;I</v>
      </c>
      <c r="B413" s="636" t="s">
        <v>101</v>
      </c>
      <c r="C413" s="922">
        <v>0.27500000000000002</v>
      </c>
      <c r="D413" s="923">
        <v>462.14880952380952</v>
      </c>
      <c r="E413" s="913">
        <v>213512.75</v>
      </c>
      <c r="F413" s="922"/>
      <c r="G413" s="923">
        <v>464.47500000000002</v>
      </c>
      <c r="H413" s="913">
        <v>11611.875</v>
      </c>
      <c r="I413" s="922"/>
      <c r="J413" s="923">
        <v>457.61057692307691</v>
      </c>
      <c r="K413" s="913">
        <v>11897.875</v>
      </c>
      <c r="L413" s="922"/>
      <c r="M413" s="923">
        <v>463.890625</v>
      </c>
      <c r="N413" s="913">
        <v>18555.625</v>
      </c>
      <c r="O413" s="922"/>
      <c r="P413" s="923">
        <v>460.55</v>
      </c>
      <c r="Q413" s="913">
        <v>25330.25</v>
      </c>
      <c r="R413" s="922"/>
      <c r="S413" s="923">
        <v>471.9</v>
      </c>
      <c r="T413" s="913">
        <v>25954.5</v>
      </c>
      <c r="U413" s="922"/>
      <c r="V413" s="923">
        <v>464.35197368421052</v>
      </c>
      <c r="W413" s="913">
        <v>17645.375</v>
      </c>
      <c r="X413" s="922"/>
      <c r="Y413" s="923">
        <v>447.52430555555554</v>
      </c>
      <c r="Z413" s="913">
        <v>16110.875</v>
      </c>
      <c r="AA413" s="922"/>
      <c r="AB413" s="923">
        <v>455.41279069767444</v>
      </c>
      <c r="AC413" s="913">
        <v>19582.75</v>
      </c>
      <c r="AD413" s="922"/>
      <c r="AE413" s="923">
        <v>463.890625</v>
      </c>
      <c r="AF413" s="913">
        <v>18555.625</v>
      </c>
      <c r="AG413" s="922"/>
      <c r="AH413" s="923">
        <v>463.890625</v>
      </c>
      <c r="AI413" s="913">
        <v>18555.625</v>
      </c>
      <c r="AJ413" s="922"/>
      <c r="AK413" s="923">
        <v>464.86458333333331</v>
      </c>
      <c r="AL413" s="913">
        <v>16735.125</v>
      </c>
      <c r="AM413" s="922"/>
      <c r="AN413" s="923">
        <v>463.47321428571428</v>
      </c>
      <c r="AO413" s="913">
        <v>12977.25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25">
      <c r="A414" s="539" t="str">
        <f t="shared" si="8"/>
        <v>Frais de livraison</v>
      </c>
      <c r="B414" s="639" t="s">
        <v>102</v>
      </c>
      <c r="C414" s="920"/>
      <c r="D414" s="921">
        <v>120.36796536796537</v>
      </c>
      <c r="E414" s="919">
        <v>55610</v>
      </c>
      <c r="F414" s="920"/>
      <c r="G414" s="921">
        <v>121.2</v>
      </c>
      <c r="H414" s="919">
        <v>3030</v>
      </c>
      <c r="I414" s="920"/>
      <c r="J414" s="921">
        <v>116.92307692307692</v>
      </c>
      <c r="K414" s="919">
        <v>3040</v>
      </c>
      <c r="L414" s="920"/>
      <c r="M414" s="921">
        <v>121.75</v>
      </c>
      <c r="N414" s="919">
        <v>4870</v>
      </c>
      <c r="O414" s="920"/>
      <c r="P414" s="921">
        <v>119.81818181818181</v>
      </c>
      <c r="Q414" s="919">
        <v>6590</v>
      </c>
      <c r="R414" s="920"/>
      <c r="S414" s="921">
        <v>124.36363636363636</v>
      </c>
      <c r="T414" s="919">
        <v>6840</v>
      </c>
      <c r="U414" s="920"/>
      <c r="V414" s="921">
        <v>121.31578947368421</v>
      </c>
      <c r="W414" s="919">
        <v>4610</v>
      </c>
      <c r="X414" s="920"/>
      <c r="Y414" s="921">
        <v>113.88888888888889</v>
      </c>
      <c r="Z414" s="919">
        <v>4100</v>
      </c>
      <c r="AA414" s="920"/>
      <c r="AB414" s="921">
        <v>116.74418604651163</v>
      </c>
      <c r="AC414" s="919">
        <v>5020</v>
      </c>
      <c r="AD414" s="920"/>
      <c r="AE414" s="921">
        <v>121.75</v>
      </c>
      <c r="AF414" s="919">
        <v>4870</v>
      </c>
      <c r="AG414" s="920"/>
      <c r="AH414" s="921">
        <v>121.75</v>
      </c>
      <c r="AI414" s="919">
        <v>4870</v>
      </c>
      <c r="AJ414" s="920"/>
      <c r="AK414" s="921">
        <v>120.83333333333333</v>
      </c>
      <c r="AL414" s="919">
        <v>4350</v>
      </c>
      <c r="AM414" s="920"/>
      <c r="AN414" s="921">
        <v>122.14285714285714</v>
      </c>
      <c r="AO414" s="919">
        <v>3420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25">
      <c r="A415" s="539" t="str">
        <f t="shared" si="8"/>
        <v>Service gratuit 1</v>
      </c>
      <c r="B415" s="639" t="s">
        <v>103</v>
      </c>
      <c r="C415" s="920"/>
      <c r="D415" s="921">
        <v>67.562770562770567</v>
      </c>
      <c r="E415" s="919">
        <v>31214</v>
      </c>
      <c r="F415" s="920"/>
      <c r="G415" s="921">
        <v>67.319999999999993</v>
      </c>
      <c r="H415" s="919">
        <v>1683</v>
      </c>
      <c r="I415" s="920"/>
      <c r="J415" s="921">
        <v>72.730769230769226</v>
      </c>
      <c r="K415" s="919">
        <v>1891</v>
      </c>
      <c r="L415" s="920"/>
      <c r="M415" s="921">
        <v>65.424999999999997</v>
      </c>
      <c r="N415" s="919">
        <v>2617</v>
      </c>
      <c r="O415" s="920"/>
      <c r="P415" s="921">
        <v>67.672727272727272</v>
      </c>
      <c r="Q415" s="919">
        <v>3722</v>
      </c>
      <c r="R415" s="920"/>
      <c r="S415" s="921">
        <v>65.236363636363635</v>
      </c>
      <c r="T415" s="919">
        <v>3588</v>
      </c>
      <c r="U415" s="920"/>
      <c r="V415" s="921">
        <v>66.921052631578945</v>
      </c>
      <c r="W415" s="919">
        <v>2543</v>
      </c>
      <c r="X415" s="920"/>
      <c r="Y415" s="921">
        <v>72.305555555555557</v>
      </c>
      <c r="Z415" s="919">
        <v>2603</v>
      </c>
      <c r="AA415" s="920"/>
      <c r="AB415" s="921">
        <v>71.395348837209298</v>
      </c>
      <c r="AC415" s="919">
        <v>3070</v>
      </c>
      <c r="AD415" s="920"/>
      <c r="AE415" s="921">
        <v>65.424999999999997</v>
      </c>
      <c r="AF415" s="919">
        <v>2617</v>
      </c>
      <c r="AG415" s="920"/>
      <c r="AH415" s="921">
        <v>65.424999999999997</v>
      </c>
      <c r="AI415" s="919">
        <v>2617</v>
      </c>
      <c r="AJ415" s="920"/>
      <c r="AK415" s="921">
        <v>68.583333333333329</v>
      </c>
      <c r="AL415" s="919">
        <v>2469</v>
      </c>
      <c r="AM415" s="920"/>
      <c r="AN415" s="921">
        <v>64.071428571428569</v>
      </c>
      <c r="AO415" s="919">
        <v>1794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25">
      <c r="A416" s="539" t="str">
        <f t="shared" si="8"/>
        <v>Entretien stock</v>
      </c>
      <c r="B416" s="636" t="s">
        <v>104</v>
      </c>
      <c r="C416" s="922"/>
      <c r="D416" s="923">
        <v>85.303030303030297</v>
      </c>
      <c r="E416" s="913">
        <v>39410</v>
      </c>
      <c r="F416" s="922"/>
      <c r="G416" s="923">
        <v>111.8</v>
      </c>
      <c r="H416" s="913">
        <v>2795</v>
      </c>
      <c r="I416" s="922"/>
      <c r="J416" s="923">
        <v>104.42307692307692</v>
      </c>
      <c r="K416" s="913">
        <v>2715</v>
      </c>
      <c r="L416" s="922"/>
      <c r="M416" s="923">
        <v>85.125</v>
      </c>
      <c r="N416" s="913">
        <v>3405</v>
      </c>
      <c r="O416" s="922"/>
      <c r="P416" s="923">
        <v>70.545454545454547</v>
      </c>
      <c r="Q416" s="913">
        <v>3880</v>
      </c>
      <c r="R416" s="922"/>
      <c r="S416" s="923">
        <v>74</v>
      </c>
      <c r="T416" s="913">
        <v>4070</v>
      </c>
      <c r="U416" s="922"/>
      <c r="V416" s="923">
        <v>86.71052631578948</v>
      </c>
      <c r="W416" s="913">
        <v>3295</v>
      </c>
      <c r="X416" s="922"/>
      <c r="Y416" s="923">
        <v>83.194444444444443</v>
      </c>
      <c r="Z416" s="913">
        <v>2995</v>
      </c>
      <c r="AA416" s="922"/>
      <c r="AB416" s="923">
        <v>76.744186046511629</v>
      </c>
      <c r="AC416" s="913">
        <v>3300</v>
      </c>
      <c r="AD416" s="922"/>
      <c r="AE416" s="923">
        <v>85.125</v>
      </c>
      <c r="AF416" s="913">
        <v>3405</v>
      </c>
      <c r="AG416" s="922"/>
      <c r="AH416" s="923">
        <v>85.125</v>
      </c>
      <c r="AI416" s="913">
        <v>3405</v>
      </c>
      <c r="AJ416" s="922"/>
      <c r="AK416" s="923">
        <v>88.472222222222229</v>
      </c>
      <c r="AL416" s="913">
        <v>3185</v>
      </c>
      <c r="AM416" s="922"/>
      <c r="AN416" s="923">
        <v>105.71428571428571</v>
      </c>
      <c r="AO416" s="913">
        <v>2960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25">
      <c r="A417" s="539" t="str">
        <f t="shared" si="8"/>
        <v>Publicité 1</v>
      </c>
      <c r="B417" s="639" t="s">
        <v>105</v>
      </c>
      <c r="C417" s="920"/>
      <c r="D417" s="921">
        <v>477.9220779220779</v>
      </c>
      <c r="E417" s="919">
        <v>220800</v>
      </c>
      <c r="F417" s="920"/>
      <c r="G417" s="921">
        <v>605.38235294117646</v>
      </c>
      <c r="H417" s="919">
        <v>15134.558823529413</v>
      </c>
      <c r="I417" s="920"/>
      <c r="J417" s="921">
        <v>531.02375565610862</v>
      </c>
      <c r="K417" s="919">
        <v>13806.617647058823</v>
      </c>
      <c r="L417" s="920"/>
      <c r="M417" s="921">
        <v>491.85661764705884</v>
      </c>
      <c r="N417" s="919">
        <v>19674.264705882353</v>
      </c>
      <c r="O417" s="920"/>
      <c r="P417" s="921">
        <v>406.76470588235298</v>
      </c>
      <c r="Q417" s="919">
        <v>22372.058823529413</v>
      </c>
      <c r="R417" s="920"/>
      <c r="S417" s="921">
        <v>449.59893048128339</v>
      </c>
      <c r="T417" s="919">
        <v>24727.941176470587</v>
      </c>
      <c r="U417" s="920"/>
      <c r="V417" s="921">
        <v>490.69272445820434</v>
      </c>
      <c r="W417" s="919">
        <v>18646.323529411766</v>
      </c>
      <c r="X417" s="920"/>
      <c r="Y417" s="921">
        <v>423.95833333333331</v>
      </c>
      <c r="Z417" s="919">
        <v>15262.5</v>
      </c>
      <c r="AA417" s="920"/>
      <c r="AB417" s="921">
        <v>407.7291381668947</v>
      </c>
      <c r="AC417" s="919">
        <v>17532.352941176472</v>
      </c>
      <c r="AD417" s="920"/>
      <c r="AE417" s="921">
        <v>491.85661764705884</v>
      </c>
      <c r="AF417" s="919">
        <v>19674.264705882353</v>
      </c>
      <c r="AG417" s="920"/>
      <c r="AH417" s="921">
        <v>491.85661764705884</v>
      </c>
      <c r="AI417" s="919">
        <v>19674.264705882353</v>
      </c>
      <c r="AJ417" s="920"/>
      <c r="AK417" s="921">
        <v>489.39950980392155</v>
      </c>
      <c r="AL417" s="919">
        <v>17618.382352941175</v>
      </c>
      <c r="AM417" s="920"/>
      <c r="AN417" s="921">
        <v>595.58823529411768</v>
      </c>
      <c r="AO417" s="919">
        <v>16676.470588235294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25">
      <c r="A418" s="539" t="str">
        <f t="shared" si="8"/>
        <v>Intérêt de gros</v>
      </c>
      <c r="B418" s="639" t="s">
        <v>106</v>
      </c>
      <c r="C418" s="920"/>
      <c r="D418" s="921">
        <v>822.9988659830733</v>
      </c>
      <c r="E418" s="919">
        <v>380225.47608417989</v>
      </c>
      <c r="F418" s="920"/>
      <c r="G418" s="921">
        <v>1190.0587264832404</v>
      </c>
      <c r="H418" s="919">
        <v>29751.468162081012</v>
      </c>
      <c r="I418" s="920"/>
      <c r="J418" s="921">
        <v>1149.5160073123338</v>
      </c>
      <c r="K418" s="919">
        <v>29887.416190120683</v>
      </c>
      <c r="L418" s="920"/>
      <c r="M418" s="921">
        <v>901.85983530558246</v>
      </c>
      <c r="N418" s="919">
        <v>36074.393412223297</v>
      </c>
      <c r="O418" s="920"/>
      <c r="P418" s="921">
        <v>667.28591696159424</v>
      </c>
      <c r="Q418" s="919">
        <v>36700.725432887681</v>
      </c>
      <c r="R418" s="920"/>
      <c r="S418" s="921">
        <v>640.00271924876358</v>
      </c>
      <c r="T418" s="919">
        <v>35200.149558681995</v>
      </c>
      <c r="U418" s="920"/>
      <c r="V418" s="921">
        <v>796.49446372354066</v>
      </c>
      <c r="W418" s="919">
        <v>30266.789621494543</v>
      </c>
      <c r="X418" s="920"/>
      <c r="Y418" s="921">
        <v>867.95532047852873</v>
      </c>
      <c r="Z418" s="919">
        <v>31246.391537227035</v>
      </c>
      <c r="AA418" s="920"/>
      <c r="AB418" s="921">
        <v>755.20400725710238</v>
      </c>
      <c r="AC418" s="919">
        <v>32473.772312055404</v>
      </c>
      <c r="AD418" s="920"/>
      <c r="AE418" s="921">
        <v>783.58954786999561</v>
      </c>
      <c r="AF418" s="919">
        <v>31343.581914799826</v>
      </c>
      <c r="AG418" s="920"/>
      <c r="AH418" s="921">
        <v>780.31006842835643</v>
      </c>
      <c r="AI418" s="919">
        <v>31212.402737134256</v>
      </c>
      <c r="AJ418" s="920"/>
      <c r="AK418" s="921">
        <v>788.61292276229358</v>
      </c>
      <c r="AL418" s="919">
        <v>28390.065219442567</v>
      </c>
      <c r="AM418" s="920"/>
      <c r="AN418" s="921">
        <v>988.51142807255565</v>
      </c>
      <c r="AO418" s="919">
        <v>27678.319986031558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25">
      <c r="A419" s="539" t="str">
        <f t="shared" si="8"/>
        <v>[...]</v>
      </c>
      <c r="B419" s="640" t="s">
        <v>42</v>
      </c>
      <c r="C419" s="920"/>
      <c r="D419" s="921"/>
      <c r="E419" s="919">
        <v>0</v>
      </c>
      <c r="F419" s="920"/>
      <c r="G419" s="921"/>
      <c r="H419" s="919">
        <v>0</v>
      </c>
      <c r="I419" s="920"/>
      <c r="J419" s="921"/>
      <c r="K419" s="919">
        <v>0</v>
      </c>
      <c r="L419" s="920"/>
      <c r="M419" s="921"/>
      <c r="N419" s="919">
        <v>0</v>
      </c>
      <c r="O419" s="920"/>
      <c r="P419" s="921"/>
      <c r="Q419" s="919">
        <v>0</v>
      </c>
      <c r="R419" s="920"/>
      <c r="S419" s="921"/>
      <c r="T419" s="919">
        <v>0</v>
      </c>
      <c r="U419" s="920"/>
      <c r="V419" s="921"/>
      <c r="W419" s="919">
        <v>0</v>
      </c>
      <c r="X419" s="920"/>
      <c r="Y419" s="921"/>
      <c r="Z419" s="919">
        <v>0</v>
      </c>
      <c r="AA419" s="920"/>
      <c r="AB419" s="921"/>
      <c r="AC419" s="919">
        <v>0</v>
      </c>
      <c r="AD419" s="920"/>
      <c r="AE419" s="921"/>
      <c r="AF419" s="919">
        <v>0</v>
      </c>
      <c r="AG419" s="920"/>
      <c r="AH419" s="921"/>
      <c r="AI419" s="919">
        <v>0</v>
      </c>
      <c r="AJ419" s="920"/>
      <c r="AK419" s="921"/>
      <c r="AL419" s="919">
        <v>0</v>
      </c>
      <c r="AM419" s="920"/>
      <c r="AN419" s="921"/>
      <c r="AO419" s="919">
        <v>0</v>
      </c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25">
      <c r="A420" s="539" t="str">
        <f t="shared" si="8"/>
        <v>[...]</v>
      </c>
      <c r="B420" s="640" t="s">
        <v>42</v>
      </c>
      <c r="C420" s="920"/>
      <c r="D420" s="921"/>
      <c r="E420" s="919">
        <v>0</v>
      </c>
      <c r="F420" s="920"/>
      <c r="G420" s="921"/>
      <c r="H420" s="919">
        <v>0</v>
      </c>
      <c r="I420" s="920"/>
      <c r="J420" s="921"/>
      <c r="K420" s="919">
        <v>0</v>
      </c>
      <c r="L420" s="920"/>
      <c r="M420" s="921"/>
      <c r="N420" s="919">
        <v>0</v>
      </c>
      <c r="O420" s="920"/>
      <c r="P420" s="921"/>
      <c r="Q420" s="919">
        <v>0</v>
      </c>
      <c r="R420" s="920"/>
      <c r="S420" s="921"/>
      <c r="T420" s="919">
        <v>0</v>
      </c>
      <c r="U420" s="920"/>
      <c r="V420" s="921"/>
      <c r="W420" s="919">
        <v>0</v>
      </c>
      <c r="X420" s="920"/>
      <c r="Y420" s="921"/>
      <c r="Z420" s="919">
        <v>0</v>
      </c>
      <c r="AA420" s="920"/>
      <c r="AB420" s="921"/>
      <c r="AC420" s="919">
        <v>0</v>
      </c>
      <c r="AD420" s="920"/>
      <c r="AE420" s="921"/>
      <c r="AF420" s="919">
        <v>0</v>
      </c>
      <c r="AG420" s="920"/>
      <c r="AH420" s="921"/>
      <c r="AI420" s="919">
        <v>0</v>
      </c>
      <c r="AJ420" s="920"/>
      <c r="AK420" s="921"/>
      <c r="AL420" s="919">
        <v>0</v>
      </c>
      <c r="AM420" s="920"/>
      <c r="AN420" s="921"/>
      <c r="AO420" s="919">
        <v>0</v>
      </c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25">
      <c r="A421" s="539" t="str">
        <f t="shared" si="8"/>
        <v>[...]</v>
      </c>
      <c r="B421" s="635" t="s">
        <v>42</v>
      </c>
      <c r="C421" s="920"/>
      <c r="D421" s="921"/>
      <c r="E421" s="919">
        <v>0</v>
      </c>
      <c r="F421" s="920"/>
      <c r="G421" s="921"/>
      <c r="H421" s="919">
        <v>0</v>
      </c>
      <c r="I421" s="920"/>
      <c r="J421" s="921"/>
      <c r="K421" s="919">
        <v>0</v>
      </c>
      <c r="L421" s="920"/>
      <c r="M421" s="921"/>
      <c r="N421" s="919">
        <v>0</v>
      </c>
      <c r="O421" s="920"/>
      <c r="P421" s="921"/>
      <c r="Q421" s="919">
        <v>0</v>
      </c>
      <c r="R421" s="920"/>
      <c r="S421" s="921"/>
      <c r="T421" s="919">
        <v>0</v>
      </c>
      <c r="U421" s="920"/>
      <c r="V421" s="921"/>
      <c r="W421" s="919">
        <v>0</v>
      </c>
      <c r="X421" s="920"/>
      <c r="Y421" s="921"/>
      <c r="Z421" s="919">
        <v>0</v>
      </c>
      <c r="AA421" s="920"/>
      <c r="AB421" s="921"/>
      <c r="AC421" s="919">
        <v>0</v>
      </c>
      <c r="AD421" s="920"/>
      <c r="AE421" s="921"/>
      <c r="AF421" s="919">
        <v>0</v>
      </c>
      <c r="AG421" s="920"/>
      <c r="AH421" s="921"/>
      <c r="AI421" s="919">
        <v>0</v>
      </c>
      <c r="AJ421" s="920"/>
      <c r="AK421" s="921"/>
      <c r="AL421" s="919">
        <v>0</v>
      </c>
      <c r="AM421" s="920"/>
      <c r="AN421" s="921"/>
      <c r="AO421" s="919">
        <v>0</v>
      </c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25">
      <c r="A422" s="539" t="str">
        <f t="shared" si="8"/>
        <v>TOTAL VARIABLES</v>
      </c>
      <c r="B422" s="641" t="s">
        <v>107</v>
      </c>
      <c r="C422" s="924">
        <v>0.30164174666284899</v>
      </c>
      <c r="D422" s="925">
        <v>2898.613519662727</v>
      </c>
      <c r="E422" s="926">
        <v>1371927.2260841799</v>
      </c>
      <c r="F422" s="924">
        <v>0.35292917597906581</v>
      </c>
      <c r="G422" s="925"/>
      <c r="H422" s="926">
        <v>89328.56064935305</v>
      </c>
      <c r="I422" s="924">
        <v>0.35292074640603627</v>
      </c>
      <c r="J422" s="925"/>
      <c r="K422" s="926">
        <v>87440.726502870879</v>
      </c>
      <c r="L422" s="924">
        <v>0.33352779596395449</v>
      </c>
      <c r="M422" s="925"/>
      <c r="N422" s="926">
        <v>122900.63500575133</v>
      </c>
      <c r="O422" s="924">
        <v>0.30756435289692552</v>
      </c>
      <c r="P422" s="925"/>
      <c r="Q422" s="926">
        <v>147950.67911739918</v>
      </c>
      <c r="R422" s="924">
        <v>0.27939483823891492</v>
      </c>
      <c r="S422" s="925"/>
      <c r="T422" s="926">
        <v>151514.20035751141</v>
      </c>
      <c r="U422" s="924">
        <v>0.29377707336499048</v>
      </c>
      <c r="V422" s="925"/>
      <c r="W422" s="926">
        <v>112761.94588517107</v>
      </c>
      <c r="X422" s="924">
        <v>0.28928354600215977</v>
      </c>
      <c r="Y422" s="925"/>
      <c r="Z422" s="926">
        <v>104543.62405857164</v>
      </c>
      <c r="AA422" s="924">
        <v>0.31386060955769574</v>
      </c>
      <c r="AB422" s="925"/>
      <c r="AC422" s="926">
        <v>118990.67416693343</v>
      </c>
      <c r="AD422" s="924">
        <v>0.30174133100832695</v>
      </c>
      <c r="AE422" s="925"/>
      <c r="AF422" s="926">
        <v>118150.60939026522</v>
      </c>
      <c r="AG422" s="924">
        <v>0.2792481445463913</v>
      </c>
      <c r="AH422" s="925"/>
      <c r="AI422" s="926">
        <v>118430.91173567847</v>
      </c>
      <c r="AJ422" s="924">
        <v>0.24332794344211767</v>
      </c>
      <c r="AK422" s="925"/>
      <c r="AL422" s="926">
        <v>106029.29552212651</v>
      </c>
      <c r="AM422" s="924">
        <v>0.33560141232496427</v>
      </c>
      <c r="AN422" s="925"/>
      <c r="AO422" s="926">
        <v>93885.363692547689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25">
      <c r="A423" s="539" t="str">
        <f t="shared" si="8"/>
        <v>Salaires propriétaire</v>
      </c>
      <c r="B423" s="639" t="s">
        <v>203</v>
      </c>
      <c r="C423" s="920"/>
      <c r="D423" s="921"/>
      <c r="E423" s="927">
        <v>169988.01538461537</v>
      </c>
      <c r="F423" s="920"/>
      <c r="G423" s="921"/>
      <c r="H423" s="927">
        <v>14726.288712054229</v>
      </c>
      <c r="I423" s="920"/>
      <c r="J423" s="921"/>
      <c r="K423" s="927">
        <v>13380.798880047158</v>
      </c>
      <c r="L423" s="920"/>
      <c r="M423" s="921"/>
      <c r="N423" s="927">
        <v>13829.29549071618</v>
      </c>
      <c r="O423" s="920"/>
      <c r="P423" s="921"/>
      <c r="Q423" s="927">
        <v>14277.792101385206</v>
      </c>
      <c r="R423" s="920"/>
      <c r="S423" s="921"/>
      <c r="T423" s="927">
        <v>14277.792101385206</v>
      </c>
      <c r="U423" s="920"/>
      <c r="V423" s="921"/>
      <c r="W423" s="927">
        <v>13829.29549071618</v>
      </c>
      <c r="X423" s="920"/>
      <c r="Y423" s="921"/>
      <c r="Z423" s="927">
        <v>14726.288712054229</v>
      </c>
      <c r="AA423" s="920"/>
      <c r="AB423" s="921"/>
      <c r="AC423" s="927">
        <v>13829.29549071618</v>
      </c>
      <c r="AD423" s="920"/>
      <c r="AE423" s="921"/>
      <c r="AF423" s="927">
        <v>14277.792101385206</v>
      </c>
      <c r="AG423" s="920"/>
      <c r="AH423" s="921"/>
      <c r="AI423" s="927">
        <v>14726.288712054229</v>
      </c>
      <c r="AJ423" s="920"/>
      <c r="AK423" s="921"/>
      <c r="AL423" s="927">
        <v>13380.798880047158</v>
      </c>
      <c r="AM423" s="920"/>
      <c r="AN423" s="921"/>
      <c r="AO423" s="927">
        <v>14726.288712054229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25">
      <c r="A424" s="539" t="str">
        <f t="shared" si="8"/>
        <v>Salaires cadres</v>
      </c>
      <c r="B424" s="639" t="s">
        <v>109</v>
      </c>
      <c r="C424" s="920"/>
      <c r="D424" s="921"/>
      <c r="E424" s="919">
        <v>385853.5384615385</v>
      </c>
      <c r="F424" s="920"/>
      <c r="G424" s="921"/>
      <c r="H424" s="919">
        <v>32839.42101385205</v>
      </c>
      <c r="I424" s="920"/>
      <c r="J424" s="921"/>
      <c r="K424" s="919">
        <v>31195.518272914826</v>
      </c>
      <c r="L424" s="920"/>
      <c r="M424" s="921"/>
      <c r="N424" s="919">
        <v>31743.485853227234</v>
      </c>
      <c r="O424" s="920"/>
      <c r="P424" s="921"/>
      <c r="Q424" s="919">
        <v>32291.453433539642</v>
      </c>
      <c r="R424" s="920"/>
      <c r="S424" s="921"/>
      <c r="T424" s="919">
        <v>32291.453433539642</v>
      </c>
      <c r="U424" s="920"/>
      <c r="V424" s="921"/>
      <c r="W424" s="919">
        <v>31743.485853227234</v>
      </c>
      <c r="X424" s="920"/>
      <c r="Y424" s="921"/>
      <c r="Z424" s="919">
        <v>32839.42101385205</v>
      </c>
      <c r="AA424" s="920"/>
      <c r="AB424" s="921"/>
      <c r="AC424" s="919">
        <v>31743.485853227234</v>
      </c>
      <c r="AD424" s="920"/>
      <c r="AE424" s="921"/>
      <c r="AF424" s="919">
        <v>32291.453433539642</v>
      </c>
      <c r="AG424" s="920"/>
      <c r="AH424" s="921"/>
      <c r="AI424" s="919">
        <v>32839.42101385205</v>
      </c>
      <c r="AJ424" s="920"/>
      <c r="AK424" s="921"/>
      <c r="AL424" s="919">
        <v>31195.518272914826</v>
      </c>
      <c r="AM424" s="920"/>
      <c r="AN424" s="921"/>
      <c r="AO424" s="919">
        <v>32839.42101385205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25">
      <c r="A425" s="539" t="str">
        <f t="shared" si="8"/>
        <v>Salaires commis</v>
      </c>
      <c r="B425" s="636" t="s">
        <v>110</v>
      </c>
      <c r="C425" s="922"/>
      <c r="D425" s="923"/>
      <c r="E425" s="913">
        <v>250925</v>
      </c>
      <c r="F425" s="922"/>
      <c r="G425" s="923"/>
      <c r="H425" s="913">
        <v>22629.420498084291</v>
      </c>
      <c r="I425" s="922"/>
      <c r="J425" s="923"/>
      <c r="K425" s="913">
        <v>20384.811302681992</v>
      </c>
      <c r="L425" s="922"/>
      <c r="M425" s="923"/>
      <c r="N425" s="913">
        <v>20234.681034482761</v>
      </c>
      <c r="O425" s="922"/>
      <c r="P425" s="923"/>
      <c r="Q425" s="913">
        <v>20084.55076628353</v>
      </c>
      <c r="R425" s="922"/>
      <c r="S425" s="923"/>
      <c r="T425" s="913">
        <v>20084.55076628353</v>
      </c>
      <c r="U425" s="922"/>
      <c r="V425" s="923"/>
      <c r="W425" s="913">
        <v>20399.681034482761</v>
      </c>
      <c r="X425" s="922"/>
      <c r="Y425" s="923"/>
      <c r="Z425" s="913">
        <v>22024.420498084291</v>
      </c>
      <c r="AA425" s="922"/>
      <c r="AB425" s="923"/>
      <c r="AC425" s="913">
        <v>20124.681034482761</v>
      </c>
      <c r="AD425" s="922"/>
      <c r="AE425" s="923"/>
      <c r="AF425" s="913">
        <v>20964.55076628353</v>
      </c>
      <c r="AG425" s="922"/>
      <c r="AH425" s="923"/>
      <c r="AI425" s="913">
        <v>21749.420498084291</v>
      </c>
      <c r="AJ425" s="922"/>
      <c r="AK425" s="923"/>
      <c r="AL425" s="913">
        <v>19779.811302681992</v>
      </c>
      <c r="AM425" s="922"/>
      <c r="AN425" s="923"/>
      <c r="AO425" s="913">
        <v>22464.420498084291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25">
      <c r="A426" s="539" t="str">
        <f t="shared" si="8"/>
        <v>Salaires autres</v>
      </c>
      <c r="B426" s="639" t="s">
        <v>111</v>
      </c>
      <c r="C426" s="920"/>
      <c r="D426" s="921"/>
      <c r="E426" s="919">
        <v>277862.44</v>
      </c>
      <c r="F426" s="920"/>
      <c r="G426" s="921"/>
      <c r="H426" s="919">
        <v>23383.321149425286</v>
      </c>
      <c r="I426" s="920"/>
      <c r="J426" s="921"/>
      <c r="K426" s="919">
        <v>21519.838390804594</v>
      </c>
      <c r="L426" s="920"/>
      <c r="M426" s="921"/>
      <c r="N426" s="919">
        <v>24329.138845228546</v>
      </c>
      <c r="O426" s="920"/>
      <c r="P426" s="921"/>
      <c r="Q426" s="919">
        <v>25114.020695001338</v>
      </c>
      <c r="R426" s="920"/>
      <c r="S426" s="921"/>
      <c r="T426" s="919">
        <v>21512.160229885056</v>
      </c>
      <c r="U426" s="920"/>
      <c r="V426" s="921"/>
      <c r="W426" s="919">
        <v>20890.999310344829</v>
      </c>
      <c r="X426" s="920"/>
      <c r="Y426" s="921"/>
      <c r="Z426" s="919">
        <v>22133.321149425286</v>
      </c>
      <c r="AA426" s="920"/>
      <c r="AB426" s="921"/>
      <c r="AC426" s="919">
        <v>20890.999310344829</v>
      </c>
      <c r="AD426" s="920"/>
      <c r="AE426" s="921"/>
      <c r="AF426" s="919">
        <v>22762.160229885056</v>
      </c>
      <c r="AG426" s="920"/>
      <c r="AH426" s="921"/>
      <c r="AI426" s="919">
        <v>27148.902544774122</v>
      </c>
      <c r="AJ426" s="920"/>
      <c r="AK426" s="921"/>
      <c r="AL426" s="919">
        <v>24794.256995455758</v>
      </c>
      <c r="AM426" s="920"/>
      <c r="AN426" s="921"/>
      <c r="AO426" s="919">
        <v>23383.321149425286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25">
      <c r="A427" s="539" t="str">
        <f t="shared" si="8"/>
        <v>Salaires spécialistes</v>
      </c>
      <c r="B427" s="639" t="s">
        <v>112</v>
      </c>
      <c r="C427" s="920"/>
      <c r="D427" s="921"/>
      <c r="E427" s="919">
        <v>172166.052</v>
      </c>
      <c r="F427" s="920"/>
      <c r="G427" s="921"/>
      <c r="H427" s="919">
        <v>14702.865444444444</v>
      </c>
      <c r="I427" s="920"/>
      <c r="J427" s="921"/>
      <c r="K427" s="919">
        <v>13849.198777777778</v>
      </c>
      <c r="L427" s="920"/>
      <c r="M427" s="921"/>
      <c r="N427" s="919">
        <v>14133.754333333332</v>
      </c>
      <c r="O427" s="920"/>
      <c r="P427" s="921"/>
      <c r="Q427" s="919">
        <v>14418.309888888889</v>
      </c>
      <c r="R427" s="920"/>
      <c r="S427" s="921"/>
      <c r="T427" s="919">
        <v>14418.309888888889</v>
      </c>
      <c r="U427" s="920"/>
      <c r="V427" s="921"/>
      <c r="W427" s="919">
        <v>14133.754333333332</v>
      </c>
      <c r="X427" s="920"/>
      <c r="Y427" s="921"/>
      <c r="Z427" s="919">
        <v>14702.865444444444</v>
      </c>
      <c r="AA427" s="920"/>
      <c r="AB427" s="921"/>
      <c r="AC427" s="919">
        <v>14133.754333333332</v>
      </c>
      <c r="AD427" s="920"/>
      <c r="AE427" s="921"/>
      <c r="AF427" s="919">
        <v>14418.309888888889</v>
      </c>
      <c r="AG427" s="920"/>
      <c r="AH427" s="921"/>
      <c r="AI427" s="919">
        <v>14702.865444444444</v>
      </c>
      <c r="AJ427" s="920"/>
      <c r="AK427" s="921"/>
      <c r="AL427" s="919">
        <v>13849.198777777778</v>
      </c>
      <c r="AM427" s="920"/>
      <c r="AN427" s="921"/>
      <c r="AO427" s="919">
        <v>14702.865444444444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25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25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25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/>
      <c r="H430" s="919">
        <v>0</v>
      </c>
      <c r="I430" s="920"/>
      <c r="J430" s="921"/>
      <c r="K430" s="919">
        <v>0</v>
      </c>
      <c r="L430" s="920"/>
      <c r="M430" s="921"/>
      <c r="N430" s="919">
        <v>0</v>
      </c>
      <c r="O430" s="920"/>
      <c r="P430" s="921"/>
      <c r="Q430" s="919">
        <v>0</v>
      </c>
      <c r="R430" s="920"/>
      <c r="S430" s="921"/>
      <c r="T430" s="919">
        <v>0</v>
      </c>
      <c r="U430" s="920"/>
      <c r="V430" s="921"/>
      <c r="W430" s="919">
        <v>0</v>
      </c>
      <c r="X430" s="920"/>
      <c r="Y430" s="921"/>
      <c r="Z430" s="919">
        <v>0</v>
      </c>
      <c r="AA430" s="920"/>
      <c r="AB430" s="921"/>
      <c r="AC430" s="919">
        <v>0</v>
      </c>
      <c r="AD430" s="920"/>
      <c r="AE430" s="921"/>
      <c r="AF430" s="919">
        <v>0</v>
      </c>
      <c r="AG430" s="920"/>
      <c r="AH430" s="921"/>
      <c r="AI430" s="919">
        <v>0</v>
      </c>
      <c r="AJ430" s="920"/>
      <c r="AK430" s="921"/>
      <c r="AL430" s="919">
        <v>0</v>
      </c>
      <c r="AM430" s="920"/>
      <c r="AN430" s="921"/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25">
      <c r="A431" s="539" t="str">
        <f t="shared" si="8"/>
        <v>Salaires en absences</v>
      </c>
      <c r="B431" s="636" t="s">
        <v>113</v>
      </c>
      <c r="C431" s="922"/>
      <c r="D431" s="928">
        <v>0.11247171846366666</v>
      </c>
      <c r="E431" s="913">
        <v>285224.90616475989</v>
      </c>
      <c r="F431" s="922"/>
      <c r="G431" s="928">
        <v>0.13681485001845636</v>
      </c>
      <c r="H431" s="913">
        <v>25918.369899596772</v>
      </c>
      <c r="I431" s="922"/>
      <c r="J431" s="928">
        <v>9.2005253661905498E-2</v>
      </c>
      <c r="K431" s="913">
        <v>15933.553516272432</v>
      </c>
      <c r="L431" s="922"/>
      <c r="M431" s="928">
        <v>9.2079222648823636E-2</v>
      </c>
      <c r="N431" s="913">
        <v>18615.718389626301</v>
      </c>
      <c r="O431" s="922"/>
      <c r="P431" s="928">
        <v>0.11005450498196552</v>
      </c>
      <c r="Q431" s="913">
        <v>27067.532341546663</v>
      </c>
      <c r="R431" s="922"/>
      <c r="S431" s="928">
        <v>0.10566549056699594</v>
      </c>
      <c r="T431" s="913">
        <v>26927.771575120063</v>
      </c>
      <c r="U431" s="922"/>
      <c r="V431" s="928">
        <v>0.11370241488549142</v>
      </c>
      <c r="W431" s="913">
        <v>23697.763048164332</v>
      </c>
      <c r="X431" s="922"/>
      <c r="Y431" s="928">
        <v>0.11684324616507538</v>
      </c>
      <c r="Z431" s="913">
        <v>24311.298993743552</v>
      </c>
      <c r="AA431" s="922"/>
      <c r="AB431" s="928">
        <v>9.3363298501318373E-2</v>
      </c>
      <c r="AC431" s="913">
        <v>19299.822749134139</v>
      </c>
      <c r="AD431" s="922"/>
      <c r="AE431" s="928">
        <v>0.11446127492403216</v>
      </c>
      <c r="AF431" s="913">
        <v>23997.714564820933</v>
      </c>
      <c r="AG431" s="922"/>
      <c r="AH431" s="928">
        <v>0.1128644815969761</v>
      </c>
      <c r="AI431" s="913">
        <v>25832.356070697457</v>
      </c>
      <c r="AJ431" s="922"/>
      <c r="AK431" s="928">
        <v>8.3416260458201844E-2</v>
      </c>
      <c r="AL431" s="913">
        <v>18586.731165233068</v>
      </c>
      <c r="AM431" s="922"/>
      <c r="AN431" s="928">
        <v>0.1885391986926539</v>
      </c>
      <c r="AO431" s="913">
        <v>35036.273850804144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25">
      <c r="A432" s="539" t="str">
        <f t="shared" si="8"/>
        <v>Déduction à la source</v>
      </c>
      <c r="B432" s="639" t="s">
        <v>114</v>
      </c>
      <c r="C432" s="920"/>
      <c r="D432" s="929">
        <v>0.12992422651646598</v>
      </c>
      <c r="E432" s="919">
        <v>329483.94336714322</v>
      </c>
      <c r="F432" s="920"/>
      <c r="G432" s="929">
        <v>0.16883127064572073</v>
      </c>
      <c r="H432" s="919">
        <v>31983.599167958913</v>
      </c>
      <c r="I432" s="920"/>
      <c r="J432" s="929">
        <v>0.15950910825080358</v>
      </c>
      <c r="K432" s="919">
        <v>27623.932454841881</v>
      </c>
      <c r="L432" s="920"/>
      <c r="M432" s="929">
        <v>0.13911969508898356</v>
      </c>
      <c r="N432" s="919">
        <v>28125.922349544089</v>
      </c>
      <c r="O432" s="920"/>
      <c r="P432" s="929">
        <v>0.12847376823842849</v>
      </c>
      <c r="Q432" s="919">
        <v>31597.687685786976</v>
      </c>
      <c r="R432" s="920"/>
      <c r="S432" s="929">
        <v>0.12109837243721651</v>
      </c>
      <c r="T432" s="919">
        <v>30860.683971751794</v>
      </c>
      <c r="U432" s="920"/>
      <c r="V432" s="929">
        <v>0.13078026601673357</v>
      </c>
      <c r="W432" s="919">
        <v>27257.114622953464</v>
      </c>
      <c r="X432" s="920"/>
      <c r="Y432" s="929">
        <v>0.13439284320492553</v>
      </c>
      <c r="Z432" s="919">
        <v>27962.80231001346</v>
      </c>
      <c r="AA432" s="920"/>
      <c r="AB432" s="929">
        <v>0.13344862774916705</v>
      </c>
      <c r="AC432" s="919">
        <v>27586.159690338478</v>
      </c>
      <c r="AD432" s="920"/>
      <c r="AE432" s="929">
        <v>0.12182824656038586</v>
      </c>
      <c r="AF432" s="919">
        <v>25542.258627026109</v>
      </c>
      <c r="AG432" s="920"/>
      <c r="AH432" s="929">
        <v>0.11528478181551356</v>
      </c>
      <c r="AI432" s="919">
        <v>26386.312959158651</v>
      </c>
      <c r="AJ432" s="920"/>
      <c r="AK432" s="929">
        <v>0.10563037329761428</v>
      </c>
      <c r="AL432" s="919">
        <v>23536.458486409265</v>
      </c>
      <c r="AM432" s="920"/>
      <c r="AN432" s="929">
        <v>0.11311946568075183</v>
      </c>
      <c r="AO432" s="919">
        <v>21021.011041360092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25">
      <c r="A433" s="539" t="str">
        <f t="shared" si="8"/>
        <v>Bénéfices marginaux</v>
      </c>
      <c r="B433" s="642" t="s">
        <v>115</v>
      </c>
      <c r="C433" s="920"/>
      <c r="D433" s="929">
        <v>6.7870864597157174E-2</v>
      </c>
      <c r="E433" s="919">
        <v>172118.47787583078</v>
      </c>
      <c r="F433" s="920"/>
      <c r="G433" s="929">
        <v>6.7920626121841673E-2</v>
      </c>
      <c r="H433" s="919">
        <v>12866.965182512206</v>
      </c>
      <c r="I433" s="920"/>
      <c r="J433" s="929">
        <v>7.000399735144984E-2</v>
      </c>
      <c r="K433" s="919">
        <v>12123.355936294241</v>
      </c>
      <c r="L433" s="920"/>
      <c r="M433" s="929">
        <v>7.0060278102365828E-2</v>
      </c>
      <c r="N433" s="919">
        <v>14164.133557324361</v>
      </c>
      <c r="O433" s="920"/>
      <c r="P433" s="929">
        <v>6.6126204240367609E-2</v>
      </c>
      <c r="Q433" s="919">
        <v>16263.51572062565</v>
      </c>
      <c r="R433" s="920"/>
      <c r="S433" s="929">
        <v>6.3489066726862303E-2</v>
      </c>
      <c r="T433" s="919">
        <v>16179.540521363882</v>
      </c>
      <c r="U433" s="920"/>
      <c r="V433" s="929">
        <v>6.8318049411726478E-2</v>
      </c>
      <c r="W433" s="919">
        <v>14238.791220945839</v>
      </c>
      <c r="X433" s="920"/>
      <c r="Y433" s="929">
        <v>7.0205216599587963E-2</v>
      </c>
      <c r="Z433" s="919">
        <v>14607.434042544344</v>
      </c>
      <c r="AA433" s="920"/>
      <c r="AB433" s="929">
        <v>7.1037292337959648E-2</v>
      </c>
      <c r="AC433" s="919">
        <v>14684.647743906413</v>
      </c>
      <c r="AD433" s="920"/>
      <c r="AE433" s="929">
        <v>6.877401015505652E-2</v>
      </c>
      <c r="AF433" s="919">
        <v>14419.016966869576</v>
      </c>
      <c r="AG433" s="920"/>
      <c r="AH433" s="929">
        <v>6.7814577538537382E-2</v>
      </c>
      <c r="AI433" s="919">
        <v>15521.360564210971</v>
      </c>
      <c r="AJ433" s="920"/>
      <c r="AK433" s="929">
        <v>6.3468893826892706E-2</v>
      </c>
      <c r="AL433" s="919">
        <v>14142.078060503422</v>
      </c>
      <c r="AM433" s="920"/>
      <c r="AN433" s="929">
        <v>6.9459321032040597E-2</v>
      </c>
      <c r="AO433" s="919">
        <v>12907.638358729881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25">
      <c r="A434" s="539" t="str">
        <f t="shared" si="8"/>
        <v>Csst</v>
      </c>
      <c r="B434" s="639" t="s">
        <v>116</v>
      </c>
      <c r="C434" s="920"/>
      <c r="D434" s="929">
        <v>1.4543756699390821E-2</v>
      </c>
      <c r="E434" s="919">
        <v>36882.530973392306</v>
      </c>
      <c r="F434" s="920"/>
      <c r="G434" s="929">
        <v>1.4554419883251785E-2</v>
      </c>
      <c r="H434" s="919">
        <v>2757.2068248240439</v>
      </c>
      <c r="I434" s="920"/>
      <c r="J434" s="929">
        <v>1.5000856575310681E-2</v>
      </c>
      <c r="K434" s="919">
        <v>2597.8619863487661</v>
      </c>
      <c r="L434" s="920"/>
      <c r="M434" s="929">
        <v>1.5012916736221245E-2</v>
      </c>
      <c r="N434" s="919">
        <v>3035.1714765695056</v>
      </c>
      <c r="O434" s="920"/>
      <c r="P434" s="929">
        <v>1.4169900908650198E-2</v>
      </c>
      <c r="Q434" s="919">
        <v>3485.0390829912099</v>
      </c>
      <c r="R434" s="920"/>
      <c r="S434" s="929">
        <v>1.3604800012899062E-2</v>
      </c>
      <c r="T434" s="919">
        <v>3467.0443974351169</v>
      </c>
      <c r="U434" s="920"/>
      <c r="V434" s="929">
        <v>1.463958201679853E-2</v>
      </c>
      <c r="W434" s="919">
        <v>3051.1695473455366</v>
      </c>
      <c r="X434" s="920"/>
      <c r="Y434" s="929">
        <v>1.5043974985625994E-2</v>
      </c>
      <c r="Z434" s="919">
        <v>3130.164437688074</v>
      </c>
      <c r="AA434" s="920"/>
      <c r="AB434" s="929">
        <v>1.5222276929562779E-2</v>
      </c>
      <c r="AC434" s="919">
        <v>3146.7102308370881</v>
      </c>
      <c r="AD434" s="920"/>
      <c r="AE434" s="929">
        <v>1.4737287890369254E-2</v>
      </c>
      <c r="AF434" s="919">
        <v>3089.7893500434802</v>
      </c>
      <c r="AG434" s="920"/>
      <c r="AH434" s="929">
        <v>1.453169518682944E-2</v>
      </c>
      <c r="AI434" s="919">
        <v>3326.0058351880652</v>
      </c>
      <c r="AJ434" s="920"/>
      <c r="AK434" s="929">
        <v>1.3600477248619866E-2</v>
      </c>
      <c r="AL434" s="919">
        <v>3030.4452986793049</v>
      </c>
      <c r="AM434" s="920"/>
      <c r="AN434" s="929">
        <v>1.4884140221151556E-2</v>
      </c>
      <c r="AO434" s="919">
        <v>2765.9225054421172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25">
      <c r="A435" s="539" t="str">
        <f t="shared" si="8"/>
        <v>[...]</v>
      </c>
      <c r="B435" s="640" t="s">
        <v>42</v>
      </c>
      <c r="C435" s="920"/>
      <c r="D435" s="921"/>
      <c r="E435" s="919">
        <v>0</v>
      </c>
      <c r="F435" s="920"/>
      <c r="G435" s="921"/>
      <c r="H435" s="919">
        <v>0</v>
      </c>
      <c r="I435" s="920"/>
      <c r="J435" s="921"/>
      <c r="K435" s="919">
        <v>0</v>
      </c>
      <c r="L435" s="920"/>
      <c r="M435" s="921"/>
      <c r="N435" s="919">
        <v>0</v>
      </c>
      <c r="O435" s="920"/>
      <c r="P435" s="921"/>
      <c r="Q435" s="919">
        <v>0</v>
      </c>
      <c r="R435" s="920"/>
      <c r="S435" s="921"/>
      <c r="T435" s="919">
        <v>0</v>
      </c>
      <c r="U435" s="920"/>
      <c r="V435" s="921"/>
      <c r="W435" s="919">
        <v>0</v>
      </c>
      <c r="X435" s="920"/>
      <c r="Y435" s="921"/>
      <c r="Z435" s="919">
        <v>0</v>
      </c>
      <c r="AA435" s="920"/>
      <c r="AB435" s="921"/>
      <c r="AC435" s="919">
        <v>0</v>
      </c>
      <c r="AD435" s="920"/>
      <c r="AE435" s="921"/>
      <c r="AF435" s="919">
        <v>0</v>
      </c>
      <c r="AG435" s="920"/>
      <c r="AH435" s="921"/>
      <c r="AI435" s="919">
        <v>0</v>
      </c>
      <c r="AJ435" s="920"/>
      <c r="AK435" s="921"/>
      <c r="AL435" s="919">
        <v>0</v>
      </c>
      <c r="AM435" s="920"/>
      <c r="AN435" s="921"/>
      <c r="AO435" s="919">
        <v>0</v>
      </c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25">
      <c r="A436" s="539" t="str">
        <f t="shared" si="8"/>
        <v>TOTAL PERSONNEL</v>
      </c>
      <c r="B436" s="641" t="s">
        <v>117</v>
      </c>
      <c r="C436" s="924">
        <v>0.457434710325687</v>
      </c>
      <c r="D436" s="930"/>
      <c r="E436" s="926">
        <v>2080504.9042272801</v>
      </c>
      <c r="F436" s="924">
        <v>0.71830505086507812</v>
      </c>
      <c r="G436" s="930"/>
      <c r="H436" s="926">
        <v>181807.45789275225</v>
      </c>
      <c r="I436" s="924">
        <v>0.64016348966481396</v>
      </c>
      <c r="J436" s="930"/>
      <c r="K436" s="926">
        <v>158608.86951798366</v>
      </c>
      <c r="L436" s="924">
        <v>0.45649190165873033</v>
      </c>
      <c r="M436" s="930"/>
      <c r="N436" s="926">
        <v>168211.30133005229</v>
      </c>
      <c r="O436" s="924">
        <v>0.38375186687098983</v>
      </c>
      <c r="P436" s="930"/>
      <c r="Q436" s="926">
        <v>184599.90171604912</v>
      </c>
      <c r="R436" s="924">
        <v>0.33195875375720307</v>
      </c>
      <c r="S436" s="930"/>
      <c r="T436" s="926">
        <v>180019.30688565318</v>
      </c>
      <c r="U436" s="924">
        <v>0.44092388668613952</v>
      </c>
      <c r="V436" s="930"/>
      <c r="W436" s="926">
        <v>169242.0544615135</v>
      </c>
      <c r="X436" s="924">
        <v>0.48822312744366869</v>
      </c>
      <c r="Y436" s="930"/>
      <c r="Z436" s="926">
        <v>176438.0166018497</v>
      </c>
      <c r="AA436" s="924">
        <v>0.43637840016951412</v>
      </c>
      <c r="AB436" s="930"/>
      <c r="AC436" s="926">
        <v>165439.55643632045</v>
      </c>
      <c r="AD436" s="924">
        <v>0.43866053983174297</v>
      </c>
      <c r="AE436" s="930"/>
      <c r="AF436" s="926">
        <v>171763.04592874245</v>
      </c>
      <c r="AG436" s="924">
        <v>0.42968687692347829</v>
      </c>
      <c r="AH436" s="930"/>
      <c r="AI436" s="926">
        <v>182232.93364246425</v>
      </c>
      <c r="AJ436" s="924">
        <v>0.37245348762524716</v>
      </c>
      <c r="AK436" s="930"/>
      <c r="AL436" s="926">
        <v>162295.29723970257</v>
      </c>
      <c r="AM436" s="924">
        <v>0.64287935188910328</v>
      </c>
      <c r="AN436" s="930"/>
      <c r="AO436" s="926">
        <v>179847.16257419653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25">
      <c r="A437" s="539" t="str">
        <f t="shared" si="8"/>
        <v>Publicité 2</v>
      </c>
      <c r="B437" s="643" t="s">
        <v>118</v>
      </c>
      <c r="C437" s="931"/>
      <c r="D437" s="932"/>
      <c r="E437" s="933">
        <v>104677</v>
      </c>
      <c r="F437" s="931"/>
      <c r="G437" s="932"/>
      <c r="H437" s="933">
        <v>7083.7803978365091</v>
      </c>
      <c r="I437" s="931"/>
      <c r="J437" s="932"/>
      <c r="K437" s="933">
        <v>10026.441496375166</v>
      </c>
      <c r="L437" s="931"/>
      <c r="M437" s="932"/>
      <c r="N437" s="933">
        <v>10086.853944674043</v>
      </c>
      <c r="O437" s="931"/>
      <c r="P437" s="932"/>
      <c r="Q437" s="933">
        <v>10327.518388041846</v>
      </c>
      <c r="R437" s="931"/>
      <c r="S437" s="932"/>
      <c r="T437" s="933">
        <v>7464.5015103221631</v>
      </c>
      <c r="U437" s="931"/>
      <c r="V437" s="932"/>
      <c r="W437" s="933">
        <v>7243.0075399898496</v>
      </c>
      <c r="X437" s="931"/>
      <c r="Y437" s="932"/>
      <c r="Z437" s="933">
        <v>7241.6906087484858</v>
      </c>
      <c r="AA437" s="931"/>
      <c r="AB437" s="932"/>
      <c r="AC437" s="933">
        <v>7207.401693408443</v>
      </c>
      <c r="AD437" s="931"/>
      <c r="AE437" s="932"/>
      <c r="AF437" s="933">
        <v>7191.0525674123</v>
      </c>
      <c r="AG437" s="931"/>
      <c r="AH437" s="932"/>
      <c r="AI437" s="933">
        <v>10334.958850173358</v>
      </c>
      <c r="AJ437" s="931"/>
      <c r="AK437" s="932"/>
      <c r="AL437" s="933">
        <v>10405.950418322167</v>
      </c>
      <c r="AM437" s="931"/>
      <c r="AN437" s="932"/>
      <c r="AO437" s="933">
        <v>10063.842584695667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25">
      <c r="A438" s="539" t="str">
        <f t="shared" si="8"/>
        <v>Service gratuit 2</v>
      </c>
      <c r="B438" s="639" t="s">
        <v>119</v>
      </c>
      <c r="C438" s="920"/>
      <c r="D438" s="921"/>
      <c r="E438" s="919">
        <v>40000</v>
      </c>
      <c r="F438" s="920"/>
      <c r="G438" s="921"/>
      <c r="H438" s="919">
        <v>3333.3333333333335</v>
      </c>
      <c r="I438" s="920"/>
      <c r="J438" s="921"/>
      <c r="K438" s="919">
        <v>3333.3333333333335</v>
      </c>
      <c r="L438" s="920"/>
      <c r="M438" s="921"/>
      <c r="N438" s="919">
        <v>3333.3333333333335</v>
      </c>
      <c r="O438" s="920"/>
      <c r="P438" s="921"/>
      <c r="Q438" s="919">
        <v>3333.3333333333335</v>
      </c>
      <c r="R438" s="920"/>
      <c r="S438" s="921"/>
      <c r="T438" s="919">
        <v>3333.3333333333335</v>
      </c>
      <c r="U438" s="920"/>
      <c r="V438" s="921"/>
      <c r="W438" s="919">
        <v>3333.3333333333335</v>
      </c>
      <c r="X438" s="920"/>
      <c r="Y438" s="921"/>
      <c r="Z438" s="919">
        <v>3333.3333333333335</v>
      </c>
      <c r="AA438" s="920"/>
      <c r="AB438" s="921"/>
      <c r="AC438" s="919">
        <v>3333.3333333333335</v>
      </c>
      <c r="AD438" s="920"/>
      <c r="AE438" s="921"/>
      <c r="AF438" s="919">
        <v>3333.3333333333335</v>
      </c>
      <c r="AG438" s="920"/>
      <c r="AH438" s="921"/>
      <c r="AI438" s="919">
        <v>3333.3333333333335</v>
      </c>
      <c r="AJ438" s="920"/>
      <c r="AK438" s="921"/>
      <c r="AL438" s="919">
        <v>3333.3333333333335</v>
      </c>
      <c r="AM438" s="920"/>
      <c r="AN438" s="921"/>
      <c r="AO438" s="919">
        <v>3333.3333333333335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25">
      <c r="A439" s="539" t="str">
        <f t="shared" si="8"/>
        <v>Frais véhicules de cie</v>
      </c>
      <c r="B439" s="636" t="s">
        <v>120</v>
      </c>
      <c r="C439" s="922"/>
      <c r="D439" s="923"/>
      <c r="E439" s="913">
        <v>219136.00000000003</v>
      </c>
      <c r="F439" s="922"/>
      <c r="G439" s="923"/>
      <c r="H439" s="913">
        <v>15011.333333333332</v>
      </c>
      <c r="I439" s="922"/>
      <c r="J439" s="923"/>
      <c r="K439" s="913">
        <v>15011.333333333332</v>
      </c>
      <c r="L439" s="922"/>
      <c r="M439" s="923"/>
      <c r="N439" s="913">
        <v>20211.333333333332</v>
      </c>
      <c r="O439" s="922"/>
      <c r="P439" s="923"/>
      <c r="Q439" s="913">
        <v>20211.333333333332</v>
      </c>
      <c r="R439" s="922"/>
      <c r="S439" s="923"/>
      <c r="T439" s="913">
        <v>20211.333333333332</v>
      </c>
      <c r="U439" s="922"/>
      <c r="V439" s="923"/>
      <c r="W439" s="913">
        <v>17611.333333333332</v>
      </c>
      <c r="X439" s="922"/>
      <c r="Y439" s="923"/>
      <c r="Z439" s="913">
        <v>17611.333333333332</v>
      </c>
      <c r="AA439" s="922"/>
      <c r="AB439" s="923"/>
      <c r="AC439" s="913">
        <v>18911.333333333332</v>
      </c>
      <c r="AD439" s="922"/>
      <c r="AE439" s="923"/>
      <c r="AF439" s="913">
        <v>18911.333333333332</v>
      </c>
      <c r="AG439" s="922"/>
      <c r="AH439" s="923"/>
      <c r="AI439" s="913">
        <v>20211.333333333332</v>
      </c>
      <c r="AJ439" s="922"/>
      <c r="AK439" s="923"/>
      <c r="AL439" s="913">
        <v>20211.333333333332</v>
      </c>
      <c r="AM439" s="922"/>
      <c r="AN439" s="923"/>
      <c r="AO439" s="913">
        <v>15011.333333333332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25">
      <c r="A440" s="539" t="str">
        <f t="shared" si="8"/>
        <v>Informatique</v>
      </c>
      <c r="B440" s="639" t="s">
        <v>121</v>
      </c>
      <c r="C440" s="920"/>
      <c r="D440" s="921"/>
      <c r="E440" s="919">
        <v>169968</v>
      </c>
      <c r="F440" s="920"/>
      <c r="G440" s="921"/>
      <c r="H440" s="919">
        <v>14164</v>
      </c>
      <c r="I440" s="920"/>
      <c r="J440" s="921"/>
      <c r="K440" s="919">
        <v>14164</v>
      </c>
      <c r="L440" s="920"/>
      <c r="M440" s="921"/>
      <c r="N440" s="919">
        <v>14164</v>
      </c>
      <c r="O440" s="920"/>
      <c r="P440" s="921"/>
      <c r="Q440" s="919">
        <v>14164</v>
      </c>
      <c r="R440" s="920"/>
      <c r="S440" s="921"/>
      <c r="T440" s="919">
        <v>14164</v>
      </c>
      <c r="U440" s="920"/>
      <c r="V440" s="921"/>
      <c r="W440" s="919">
        <v>14164</v>
      </c>
      <c r="X440" s="920"/>
      <c r="Y440" s="921"/>
      <c r="Z440" s="919">
        <v>14164</v>
      </c>
      <c r="AA440" s="920"/>
      <c r="AB440" s="921"/>
      <c r="AC440" s="919">
        <v>14164</v>
      </c>
      <c r="AD440" s="920"/>
      <c r="AE440" s="921"/>
      <c r="AF440" s="919">
        <v>14164</v>
      </c>
      <c r="AG440" s="920"/>
      <c r="AH440" s="921"/>
      <c r="AI440" s="919">
        <v>14164</v>
      </c>
      <c r="AJ440" s="920"/>
      <c r="AK440" s="921"/>
      <c r="AL440" s="919">
        <v>14164</v>
      </c>
      <c r="AM440" s="920"/>
      <c r="AN440" s="921"/>
      <c r="AO440" s="919">
        <v>14164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25">
      <c r="A441" s="539" t="str">
        <f t="shared" si="8"/>
        <v>Frais de déplacement</v>
      </c>
      <c r="B441" s="639" t="s">
        <v>122</v>
      </c>
      <c r="C441" s="920"/>
      <c r="D441" s="921"/>
      <c r="E441" s="919">
        <v>22000</v>
      </c>
      <c r="F441" s="920"/>
      <c r="G441" s="921"/>
      <c r="H441" s="919">
        <v>1833.3333333333335</v>
      </c>
      <c r="I441" s="920"/>
      <c r="J441" s="921"/>
      <c r="K441" s="919">
        <v>1833.3333333333335</v>
      </c>
      <c r="L441" s="920"/>
      <c r="M441" s="921"/>
      <c r="N441" s="919">
        <v>1833.3333333333335</v>
      </c>
      <c r="O441" s="920"/>
      <c r="P441" s="921"/>
      <c r="Q441" s="919">
        <v>1833.3333333333335</v>
      </c>
      <c r="R441" s="920"/>
      <c r="S441" s="921"/>
      <c r="T441" s="919">
        <v>1833.3333333333335</v>
      </c>
      <c r="U441" s="920"/>
      <c r="V441" s="921"/>
      <c r="W441" s="919">
        <v>1833.3333333333335</v>
      </c>
      <c r="X441" s="920"/>
      <c r="Y441" s="921"/>
      <c r="Z441" s="919">
        <v>1833.3333333333335</v>
      </c>
      <c r="AA441" s="920"/>
      <c r="AB441" s="921"/>
      <c r="AC441" s="919">
        <v>1833.3333333333335</v>
      </c>
      <c r="AD441" s="920"/>
      <c r="AE441" s="921"/>
      <c r="AF441" s="919">
        <v>1833.3333333333335</v>
      </c>
      <c r="AG441" s="920"/>
      <c r="AH441" s="921"/>
      <c r="AI441" s="919">
        <v>1833.3333333333335</v>
      </c>
      <c r="AJ441" s="920"/>
      <c r="AK441" s="921"/>
      <c r="AL441" s="919">
        <v>1833.3333333333335</v>
      </c>
      <c r="AM441" s="920"/>
      <c r="AN441" s="921"/>
      <c r="AO441" s="919">
        <v>1833.3333333333335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25">
      <c r="A442" s="539" t="str">
        <f t="shared" si="8"/>
        <v>Services extérieurs</v>
      </c>
      <c r="B442" s="639" t="s">
        <v>123</v>
      </c>
      <c r="C442" s="934"/>
      <c r="D442" s="935"/>
      <c r="E442" s="936">
        <v>140592</v>
      </c>
      <c r="F442" s="934"/>
      <c r="G442" s="935"/>
      <c r="H442" s="936">
        <v>11716</v>
      </c>
      <c r="I442" s="934"/>
      <c r="J442" s="935"/>
      <c r="K442" s="936">
        <v>11716</v>
      </c>
      <c r="L442" s="934"/>
      <c r="M442" s="935"/>
      <c r="N442" s="936">
        <v>11716</v>
      </c>
      <c r="O442" s="934"/>
      <c r="P442" s="935"/>
      <c r="Q442" s="936">
        <v>11716</v>
      </c>
      <c r="R442" s="934"/>
      <c r="S442" s="935"/>
      <c r="T442" s="936">
        <v>11716</v>
      </c>
      <c r="U442" s="934"/>
      <c r="V442" s="935"/>
      <c r="W442" s="936">
        <v>11716</v>
      </c>
      <c r="X442" s="934"/>
      <c r="Y442" s="935"/>
      <c r="Z442" s="936">
        <v>11716</v>
      </c>
      <c r="AA442" s="934"/>
      <c r="AB442" s="935"/>
      <c r="AC442" s="936">
        <v>11716</v>
      </c>
      <c r="AD442" s="934"/>
      <c r="AE442" s="935"/>
      <c r="AF442" s="936">
        <v>11716</v>
      </c>
      <c r="AG442" s="934"/>
      <c r="AH442" s="935"/>
      <c r="AI442" s="936">
        <v>11716</v>
      </c>
      <c r="AJ442" s="934"/>
      <c r="AK442" s="935"/>
      <c r="AL442" s="936">
        <v>11716</v>
      </c>
      <c r="AM442" s="934"/>
      <c r="AN442" s="935"/>
      <c r="AO442" s="936">
        <v>11716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25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25">
      <c r="A444" s="539" t="str">
        <f t="shared" si="8"/>
        <v>Fournitures autres</v>
      </c>
      <c r="B444" s="643" t="s">
        <v>124</v>
      </c>
      <c r="C444" s="920"/>
      <c r="D444" s="937"/>
      <c r="E444" s="919">
        <v>14010</v>
      </c>
      <c r="F444" s="920"/>
      <c r="G444" s="937"/>
      <c r="H444" s="919">
        <v>1167.5</v>
      </c>
      <c r="I444" s="920"/>
      <c r="J444" s="937"/>
      <c r="K444" s="919">
        <v>1167.5</v>
      </c>
      <c r="L444" s="920"/>
      <c r="M444" s="937"/>
      <c r="N444" s="919">
        <v>1167.5</v>
      </c>
      <c r="O444" s="920"/>
      <c r="P444" s="937"/>
      <c r="Q444" s="919">
        <v>1167.5</v>
      </c>
      <c r="R444" s="920"/>
      <c r="S444" s="937"/>
      <c r="T444" s="919">
        <v>1167.5</v>
      </c>
      <c r="U444" s="920"/>
      <c r="V444" s="937"/>
      <c r="W444" s="919">
        <v>1167.5</v>
      </c>
      <c r="X444" s="920"/>
      <c r="Y444" s="937"/>
      <c r="Z444" s="919">
        <v>1167.5</v>
      </c>
      <c r="AA444" s="920"/>
      <c r="AB444" s="937"/>
      <c r="AC444" s="919">
        <v>1167.5</v>
      </c>
      <c r="AD444" s="920"/>
      <c r="AE444" s="937"/>
      <c r="AF444" s="919">
        <v>1167.5</v>
      </c>
      <c r="AG444" s="920"/>
      <c r="AH444" s="937"/>
      <c r="AI444" s="919">
        <v>1167.5</v>
      </c>
      <c r="AJ444" s="920"/>
      <c r="AK444" s="937"/>
      <c r="AL444" s="919">
        <v>1167.5</v>
      </c>
      <c r="AM444" s="920"/>
      <c r="AN444" s="937"/>
      <c r="AO444" s="919">
        <v>1167.5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25">
      <c r="A445" s="539" t="str">
        <f t="shared" si="8"/>
        <v>Uniformes</v>
      </c>
      <c r="B445" s="639" t="s">
        <v>125</v>
      </c>
      <c r="C445" s="920"/>
      <c r="D445" s="921"/>
      <c r="E445" s="919">
        <v>12720</v>
      </c>
      <c r="F445" s="920"/>
      <c r="G445" s="921"/>
      <c r="H445" s="919">
        <v>1060</v>
      </c>
      <c r="I445" s="920"/>
      <c r="J445" s="921"/>
      <c r="K445" s="919">
        <v>1060</v>
      </c>
      <c r="L445" s="920"/>
      <c r="M445" s="921"/>
      <c r="N445" s="919">
        <v>1060</v>
      </c>
      <c r="O445" s="920"/>
      <c r="P445" s="921"/>
      <c r="Q445" s="919">
        <v>1060</v>
      </c>
      <c r="R445" s="920"/>
      <c r="S445" s="921"/>
      <c r="T445" s="919">
        <v>1060</v>
      </c>
      <c r="U445" s="920"/>
      <c r="V445" s="921"/>
      <c r="W445" s="919">
        <v>1060</v>
      </c>
      <c r="X445" s="920"/>
      <c r="Y445" s="921"/>
      <c r="Z445" s="919">
        <v>1060</v>
      </c>
      <c r="AA445" s="920"/>
      <c r="AB445" s="921"/>
      <c r="AC445" s="919">
        <v>1060</v>
      </c>
      <c r="AD445" s="920"/>
      <c r="AE445" s="921"/>
      <c r="AF445" s="919">
        <v>1060</v>
      </c>
      <c r="AG445" s="920"/>
      <c r="AH445" s="921"/>
      <c r="AI445" s="919">
        <v>1060</v>
      </c>
      <c r="AJ445" s="920"/>
      <c r="AK445" s="921"/>
      <c r="AL445" s="919">
        <v>1060</v>
      </c>
      <c r="AM445" s="920"/>
      <c r="AN445" s="921"/>
      <c r="AO445" s="919">
        <v>1060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25">
      <c r="A446" s="539" t="str">
        <f t="shared" si="8"/>
        <v>Papeterie</v>
      </c>
      <c r="B446" s="639" t="s">
        <v>126</v>
      </c>
      <c r="C446" s="920"/>
      <c r="D446" s="921"/>
      <c r="E446" s="919">
        <v>18900</v>
      </c>
      <c r="F446" s="920"/>
      <c r="G446" s="921"/>
      <c r="H446" s="919">
        <v>1575</v>
      </c>
      <c r="I446" s="920"/>
      <c r="J446" s="921"/>
      <c r="K446" s="919">
        <v>1575</v>
      </c>
      <c r="L446" s="920"/>
      <c r="M446" s="921"/>
      <c r="N446" s="919">
        <v>1575</v>
      </c>
      <c r="O446" s="920"/>
      <c r="P446" s="921"/>
      <c r="Q446" s="919">
        <v>1575</v>
      </c>
      <c r="R446" s="920"/>
      <c r="S446" s="921"/>
      <c r="T446" s="919">
        <v>1575</v>
      </c>
      <c r="U446" s="920"/>
      <c r="V446" s="921"/>
      <c r="W446" s="919">
        <v>1575</v>
      </c>
      <c r="X446" s="920"/>
      <c r="Y446" s="921"/>
      <c r="Z446" s="919">
        <v>1575</v>
      </c>
      <c r="AA446" s="920"/>
      <c r="AB446" s="921"/>
      <c r="AC446" s="919">
        <v>1575</v>
      </c>
      <c r="AD446" s="920"/>
      <c r="AE446" s="921"/>
      <c r="AF446" s="919">
        <v>1575</v>
      </c>
      <c r="AG446" s="920"/>
      <c r="AH446" s="921"/>
      <c r="AI446" s="919">
        <v>1575</v>
      </c>
      <c r="AJ446" s="920"/>
      <c r="AK446" s="921"/>
      <c r="AL446" s="919">
        <v>1575</v>
      </c>
      <c r="AM446" s="920"/>
      <c r="AN446" s="921"/>
      <c r="AO446" s="919">
        <v>1575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25">
      <c r="A447" s="539" t="str">
        <f t="shared" si="8"/>
        <v>Téléphone</v>
      </c>
      <c r="B447" s="639" t="s">
        <v>127</v>
      </c>
      <c r="C447" s="920"/>
      <c r="D447" s="921"/>
      <c r="E447" s="919">
        <v>6144</v>
      </c>
      <c r="F447" s="920"/>
      <c r="G447" s="921"/>
      <c r="H447" s="919">
        <v>512</v>
      </c>
      <c r="I447" s="920"/>
      <c r="J447" s="921"/>
      <c r="K447" s="919">
        <v>512</v>
      </c>
      <c r="L447" s="920"/>
      <c r="M447" s="921"/>
      <c r="N447" s="919">
        <v>512</v>
      </c>
      <c r="O447" s="920"/>
      <c r="P447" s="921"/>
      <c r="Q447" s="919">
        <v>512</v>
      </c>
      <c r="R447" s="920"/>
      <c r="S447" s="921"/>
      <c r="T447" s="919">
        <v>512</v>
      </c>
      <c r="U447" s="920"/>
      <c r="V447" s="921"/>
      <c r="W447" s="919">
        <v>512</v>
      </c>
      <c r="X447" s="920"/>
      <c r="Y447" s="921"/>
      <c r="Z447" s="919">
        <v>512</v>
      </c>
      <c r="AA447" s="920"/>
      <c r="AB447" s="921"/>
      <c r="AC447" s="919">
        <v>512</v>
      </c>
      <c r="AD447" s="920"/>
      <c r="AE447" s="921"/>
      <c r="AF447" s="919">
        <v>512</v>
      </c>
      <c r="AG447" s="920"/>
      <c r="AH447" s="921"/>
      <c r="AI447" s="919">
        <v>512</v>
      </c>
      <c r="AJ447" s="920"/>
      <c r="AK447" s="921"/>
      <c r="AL447" s="919">
        <v>512</v>
      </c>
      <c r="AM447" s="920"/>
      <c r="AN447" s="921"/>
      <c r="AO447" s="919">
        <v>512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25">
      <c r="A448" s="539" t="str">
        <f t="shared" si="8"/>
        <v>Frais postaux</v>
      </c>
      <c r="B448" s="639" t="s">
        <v>128</v>
      </c>
      <c r="C448" s="920"/>
      <c r="D448" s="921"/>
      <c r="E448" s="919">
        <v>11400</v>
      </c>
      <c r="F448" s="920"/>
      <c r="G448" s="921"/>
      <c r="H448" s="919">
        <v>950</v>
      </c>
      <c r="I448" s="920"/>
      <c r="J448" s="921"/>
      <c r="K448" s="919">
        <v>950</v>
      </c>
      <c r="L448" s="920"/>
      <c r="M448" s="921"/>
      <c r="N448" s="919">
        <v>950</v>
      </c>
      <c r="O448" s="920"/>
      <c r="P448" s="921"/>
      <c r="Q448" s="919">
        <v>950</v>
      </c>
      <c r="R448" s="920"/>
      <c r="S448" s="921"/>
      <c r="T448" s="919">
        <v>950</v>
      </c>
      <c r="U448" s="920"/>
      <c r="V448" s="921"/>
      <c r="W448" s="919">
        <v>950</v>
      </c>
      <c r="X448" s="920"/>
      <c r="Y448" s="921"/>
      <c r="Z448" s="919">
        <v>950</v>
      </c>
      <c r="AA448" s="920"/>
      <c r="AB448" s="921"/>
      <c r="AC448" s="919">
        <v>950</v>
      </c>
      <c r="AD448" s="920"/>
      <c r="AE448" s="921"/>
      <c r="AF448" s="919">
        <v>950</v>
      </c>
      <c r="AG448" s="920"/>
      <c r="AH448" s="921"/>
      <c r="AI448" s="919">
        <v>950</v>
      </c>
      <c r="AJ448" s="920"/>
      <c r="AK448" s="921"/>
      <c r="AL448" s="919">
        <v>950</v>
      </c>
      <c r="AM448" s="920"/>
      <c r="AN448" s="921"/>
      <c r="AO448" s="919">
        <v>950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25">
      <c r="A449" s="539" t="str">
        <f t="shared" si="8"/>
        <v>Divers</v>
      </c>
      <c r="B449" s="639" t="s">
        <v>129</v>
      </c>
      <c r="C449" s="920"/>
      <c r="D449" s="921"/>
      <c r="E449" s="919">
        <v>20892.000000000004</v>
      </c>
      <c r="F449" s="920"/>
      <c r="G449" s="921"/>
      <c r="H449" s="919">
        <v>1741.0000000000002</v>
      </c>
      <c r="I449" s="920"/>
      <c r="J449" s="921"/>
      <c r="K449" s="919">
        <v>1741.0000000000002</v>
      </c>
      <c r="L449" s="920"/>
      <c r="M449" s="921"/>
      <c r="N449" s="919">
        <v>1741.0000000000002</v>
      </c>
      <c r="O449" s="920"/>
      <c r="P449" s="921"/>
      <c r="Q449" s="919">
        <v>1741.0000000000002</v>
      </c>
      <c r="R449" s="920"/>
      <c r="S449" s="921"/>
      <c r="T449" s="919">
        <v>1741.0000000000002</v>
      </c>
      <c r="U449" s="920"/>
      <c r="V449" s="921"/>
      <c r="W449" s="919">
        <v>1741.0000000000002</v>
      </c>
      <c r="X449" s="920"/>
      <c r="Y449" s="921"/>
      <c r="Z449" s="919">
        <v>1741.0000000000002</v>
      </c>
      <c r="AA449" s="920"/>
      <c r="AB449" s="921"/>
      <c r="AC449" s="919">
        <v>1741.0000000000002</v>
      </c>
      <c r="AD449" s="920"/>
      <c r="AE449" s="921"/>
      <c r="AF449" s="919">
        <v>1741.0000000000002</v>
      </c>
      <c r="AG449" s="920"/>
      <c r="AH449" s="921"/>
      <c r="AI449" s="919">
        <v>1741.0000000000002</v>
      </c>
      <c r="AJ449" s="920"/>
      <c r="AK449" s="921"/>
      <c r="AL449" s="919">
        <v>1741.0000000000002</v>
      </c>
      <c r="AM449" s="920"/>
      <c r="AN449" s="921"/>
      <c r="AO449" s="919">
        <v>1741.0000000000002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25">
      <c r="A450" s="539" t="str">
        <f t="shared" si="8"/>
        <v>Formation</v>
      </c>
      <c r="B450" s="639" t="s">
        <v>130</v>
      </c>
      <c r="C450" s="920"/>
      <c r="D450" s="921"/>
      <c r="E450" s="919">
        <v>30988.2536</v>
      </c>
      <c r="F450" s="920"/>
      <c r="G450" s="921"/>
      <c r="H450" s="919">
        <v>2582.3544666666662</v>
      </c>
      <c r="I450" s="920"/>
      <c r="J450" s="921"/>
      <c r="K450" s="919">
        <v>2582.3544666666662</v>
      </c>
      <c r="L450" s="920"/>
      <c r="M450" s="921"/>
      <c r="N450" s="919">
        <v>2582.3544666666662</v>
      </c>
      <c r="O450" s="920"/>
      <c r="P450" s="921"/>
      <c r="Q450" s="919">
        <v>2582.3544666666662</v>
      </c>
      <c r="R450" s="920"/>
      <c r="S450" s="921"/>
      <c r="T450" s="919">
        <v>2582.3544666666662</v>
      </c>
      <c r="U450" s="920"/>
      <c r="V450" s="921"/>
      <c r="W450" s="919">
        <v>2582.3544666666662</v>
      </c>
      <c r="X450" s="920"/>
      <c r="Y450" s="921"/>
      <c r="Z450" s="919">
        <v>2582.3544666666662</v>
      </c>
      <c r="AA450" s="920"/>
      <c r="AB450" s="921"/>
      <c r="AC450" s="919">
        <v>2582.3544666666662</v>
      </c>
      <c r="AD450" s="920"/>
      <c r="AE450" s="921"/>
      <c r="AF450" s="919">
        <v>2582.3544666666662</v>
      </c>
      <c r="AG450" s="920"/>
      <c r="AH450" s="921"/>
      <c r="AI450" s="919">
        <v>2582.3544666666662</v>
      </c>
      <c r="AJ450" s="920"/>
      <c r="AK450" s="921"/>
      <c r="AL450" s="919">
        <v>2582.3544666666662</v>
      </c>
      <c r="AM450" s="920"/>
      <c r="AN450" s="921"/>
      <c r="AO450" s="919">
        <v>2582.3544666666662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25">
      <c r="A451" s="539" t="str">
        <f t="shared" si="8"/>
        <v>Frais bancaires</v>
      </c>
      <c r="B451" s="639" t="s">
        <v>131</v>
      </c>
      <c r="C451" s="920"/>
      <c r="D451" s="921"/>
      <c r="E451" s="919">
        <v>78526.351005882359</v>
      </c>
      <c r="F451" s="920"/>
      <c r="G451" s="921"/>
      <c r="H451" s="919">
        <v>4395.8945192278097</v>
      </c>
      <c r="I451" s="920"/>
      <c r="J451" s="921"/>
      <c r="K451" s="919">
        <v>4276.852218551021</v>
      </c>
      <c r="L451" s="920"/>
      <c r="M451" s="921"/>
      <c r="N451" s="919">
        <v>6858.014224883711</v>
      </c>
      <c r="O451" s="920"/>
      <c r="P451" s="921"/>
      <c r="Q451" s="919">
        <v>9074.2156600810195</v>
      </c>
      <c r="R451" s="920"/>
      <c r="S451" s="921"/>
      <c r="T451" s="919">
        <v>9404.2587733542696</v>
      </c>
      <c r="U451" s="920"/>
      <c r="V451" s="921"/>
      <c r="W451" s="919">
        <v>6578.0970558663003</v>
      </c>
      <c r="X451" s="920"/>
      <c r="Y451" s="921"/>
      <c r="Z451" s="919">
        <v>5972.5168204864858</v>
      </c>
      <c r="AA451" s="920"/>
      <c r="AB451" s="921"/>
      <c r="AC451" s="919">
        <v>6983.6378724392489</v>
      </c>
      <c r="AD451" s="920"/>
      <c r="AE451" s="921"/>
      <c r="AF451" s="919">
        <v>6937.8446673904728</v>
      </c>
      <c r="AG451" s="920"/>
      <c r="AH451" s="921"/>
      <c r="AI451" s="919">
        <v>6904.1409478158021</v>
      </c>
      <c r="AJ451" s="920"/>
      <c r="AK451" s="921"/>
      <c r="AL451" s="919">
        <v>6379.6195216605292</v>
      </c>
      <c r="AM451" s="920"/>
      <c r="AN451" s="921"/>
      <c r="AO451" s="919">
        <v>4761.2587241256833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25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>
        <v>0</v>
      </c>
      <c r="I452" s="920"/>
      <c r="J452" s="921"/>
      <c r="K452" s="919">
        <v>0</v>
      </c>
      <c r="L452" s="920"/>
      <c r="M452" s="921"/>
      <c r="N452" s="919">
        <v>0</v>
      </c>
      <c r="O452" s="920"/>
      <c r="P452" s="921"/>
      <c r="Q452" s="919">
        <v>0</v>
      </c>
      <c r="R452" s="920"/>
      <c r="S452" s="921"/>
      <c r="T452" s="919">
        <v>0</v>
      </c>
      <c r="U452" s="920"/>
      <c r="V452" s="921"/>
      <c r="W452" s="919">
        <v>0</v>
      </c>
      <c r="X452" s="920"/>
      <c r="Y452" s="921"/>
      <c r="Z452" s="919">
        <v>0</v>
      </c>
      <c r="AA452" s="920"/>
      <c r="AB452" s="921"/>
      <c r="AC452" s="919">
        <v>0</v>
      </c>
      <c r="AD452" s="920"/>
      <c r="AE452" s="921"/>
      <c r="AF452" s="919">
        <v>0</v>
      </c>
      <c r="AG452" s="920"/>
      <c r="AH452" s="921"/>
      <c r="AI452" s="919">
        <v>0</v>
      </c>
      <c r="AJ452" s="920"/>
      <c r="AK452" s="921"/>
      <c r="AL452" s="919">
        <v>0</v>
      </c>
      <c r="AM452" s="920"/>
      <c r="AN452" s="921"/>
      <c r="AO452" s="919">
        <v>0</v>
      </c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25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>
        <v>0</v>
      </c>
      <c r="I453" s="920"/>
      <c r="J453" s="921"/>
      <c r="K453" s="919">
        <v>0</v>
      </c>
      <c r="L453" s="920"/>
      <c r="M453" s="921"/>
      <c r="N453" s="919">
        <v>0</v>
      </c>
      <c r="O453" s="920"/>
      <c r="P453" s="921"/>
      <c r="Q453" s="919">
        <v>0</v>
      </c>
      <c r="R453" s="920"/>
      <c r="S453" s="921"/>
      <c r="T453" s="919">
        <v>0</v>
      </c>
      <c r="U453" s="920"/>
      <c r="V453" s="921"/>
      <c r="W453" s="919">
        <v>0</v>
      </c>
      <c r="X453" s="920"/>
      <c r="Y453" s="921"/>
      <c r="Z453" s="919">
        <v>0</v>
      </c>
      <c r="AA453" s="920"/>
      <c r="AB453" s="921"/>
      <c r="AC453" s="919">
        <v>0</v>
      </c>
      <c r="AD453" s="920"/>
      <c r="AE453" s="921"/>
      <c r="AF453" s="919">
        <v>0</v>
      </c>
      <c r="AG453" s="920"/>
      <c r="AH453" s="921"/>
      <c r="AI453" s="919">
        <v>0</v>
      </c>
      <c r="AJ453" s="920"/>
      <c r="AK453" s="921"/>
      <c r="AL453" s="919">
        <v>0</v>
      </c>
      <c r="AM453" s="920"/>
      <c r="AN453" s="921"/>
      <c r="AO453" s="919">
        <v>0</v>
      </c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25">
      <c r="A454" s="539" t="str">
        <f t="shared" si="8"/>
        <v>[...]</v>
      </c>
      <c r="B454" s="639" t="s">
        <v>42</v>
      </c>
      <c r="C454" s="920"/>
      <c r="D454" s="921"/>
      <c r="E454" s="919">
        <v>0</v>
      </c>
      <c r="F454" s="920"/>
      <c r="G454" s="921"/>
      <c r="H454" s="919">
        <v>0</v>
      </c>
      <c r="I454" s="920"/>
      <c r="J454" s="921"/>
      <c r="K454" s="919">
        <v>0</v>
      </c>
      <c r="L454" s="920"/>
      <c r="M454" s="921"/>
      <c r="N454" s="919">
        <v>0</v>
      </c>
      <c r="O454" s="920"/>
      <c r="P454" s="921"/>
      <c r="Q454" s="919">
        <v>0</v>
      </c>
      <c r="R454" s="920"/>
      <c r="S454" s="921"/>
      <c r="T454" s="919">
        <v>0</v>
      </c>
      <c r="U454" s="920"/>
      <c r="V454" s="921"/>
      <c r="W454" s="919">
        <v>0</v>
      </c>
      <c r="X454" s="920"/>
      <c r="Y454" s="921"/>
      <c r="Z454" s="919">
        <v>0</v>
      </c>
      <c r="AA454" s="920"/>
      <c r="AB454" s="921"/>
      <c r="AC454" s="919">
        <v>0</v>
      </c>
      <c r="AD454" s="920"/>
      <c r="AE454" s="921"/>
      <c r="AF454" s="919">
        <v>0</v>
      </c>
      <c r="AG454" s="920"/>
      <c r="AH454" s="921"/>
      <c r="AI454" s="919">
        <v>0</v>
      </c>
      <c r="AJ454" s="920"/>
      <c r="AK454" s="921"/>
      <c r="AL454" s="919">
        <v>0</v>
      </c>
      <c r="AM454" s="920"/>
      <c r="AN454" s="921"/>
      <c r="AO454" s="919">
        <v>0</v>
      </c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25">
      <c r="A455" s="539" t="str">
        <f t="shared" si="8"/>
        <v>TOTAL SEMI-FIXES</v>
      </c>
      <c r="B455" s="641" t="s">
        <v>132</v>
      </c>
      <c r="C455" s="924">
        <v>0.19567157400063526</v>
      </c>
      <c r="D455" s="925"/>
      <c r="E455" s="926">
        <v>889953.60460588243</v>
      </c>
      <c r="F455" s="924">
        <v>0.26520697972010054</v>
      </c>
      <c r="G455" s="925"/>
      <c r="H455" s="926">
        <v>67125.529383730987</v>
      </c>
      <c r="I455" s="924">
        <v>0.28232274106166844</v>
      </c>
      <c r="J455" s="925"/>
      <c r="K455" s="926">
        <v>69949.148181592856</v>
      </c>
      <c r="L455" s="924">
        <v>0.21110849643770419</v>
      </c>
      <c r="M455" s="925"/>
      <c r="N455" s="926">
        <v>77790.722636224426</v>
      </c>
      <c r="O455" s="924">
        <v>0.16682111755300111</v>
      </c>
      <c r="P455" s="925"/>
      <c r="Q455" s="926">
        <v>80247.588514789531</v>
      </c>
      <c r="R455" s="924">
        <v>0.1433071102625218</v>
      </c>
      <c r="S455" s="925"/>
      <c r="T455" s="926">
        <v>77714.614750343113</v>
      </c>
      <c r="U455" s="924">
        <v>0.18775501037612669</v>
      </c>
      <c r="V455" s="925"/>
      <c r="W455" s="926">
        <v>72066.959062522816</v>
      </c>
      <c r="X455" s="924">
        <v>0.19773774143508188</v>
      </c>
      <c r="Y455" s="925"/>
      <c r="Z455" s="926">
        <v>71460.061895901643</v>
      </c>
      <c r="AA455" s="924">
        <v>0.19449512888269241</v>
      </c>
      <c r="AB455" s="925"/>
      <c r="AC455" s="926">
        <v>73736.894032514363</v>
      </c>
      <c r="AD455" s="924">
        <v>0.1881557594568026</v>
      </c>
      <c r="AE455" s="925"/>
      <c r="AF455" s="926">
        <v>73674.751701469431</v>
      </c>
      <c r="AG455" s="924">
        <v>0.18411644625400597</v>
      </c>
      <c r="AH455" s="925"/>
      <c r="AI455" s="926">
        <v>78084.95426465584</v>
      </c>
      <c r="AJ455" s="924">
        <v>0.17815731731811998</v>
      </c>
      <c r="AK455" s="925"/>
      <c r="AL455" s="926">
        <v>77631.42440664937</v>
      </c>
      <c r="AM455" s="924">
        <v>0.25190457123426097</v>
      </c>
      <c r="AN455" s="925"/>
      <c r="AO455" s="926">
        <v>70470.955775488022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25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25">
      <c r="A457" s="539" t="str">
        <f t="shared" si="8"/>
        <v>Taxes foncières</v>
      </c>
      <c r="B457" s="639" t="s">
        <v>226</v>
      </c>
      <c r="C457" s="920"/>
      <c r="D457" s="921"/>
      <c r="E457" s="927">
        <v>71196.84</v>
      </c>
      <c r="F457" s="920"/>
      <c r="G457" s="921"/>
      <c r="H457" s="927">
        <v>5933.07</v>
      </c>
      <c r="I457" s="920"/>
      <c r="J457" s="921"/>
      <c r="K457" s="927">
        <v>5933.07</v>
      </c>
      <c r="L457" s="920"/>
      <c r="M457" s="921"/>
      <c r="N457" s="927">
        <v>5933.07</v>
      </c>
      <c r="O457" s="920"/>
      <c r="P457" s="921"/>
      <c r="Q457" s="927">
        <v>5933.07</v>
      </c>
      <c r="R457" s="920"/>
      <c r="S457" s="921"/>
      <c r="T457" s="927">
        <v>5933.07</v>
      </c>
      <c r="U457" s="920"/>
      <c r="V457" s="921"/>
      <c r="W457" s="927">
        <v>5933.07</v>
      </c>
      <c r="X457" s="920"/>
      <c r="Y457" s="921"/>
      <c r="Z457" s="927">
        <v>5933.07</v>
      </c>
      <c r="AA457" s="920"/>
      <c r="AB457" s="921"/>
      <c r="AC457" s="927">
        <v>5933.07</v>
      </c>
      <c r="AD457" s="920"/>
      <c r="AE457" s="921"/>
      <c r="AF457" s="927">
        <v>5933.07</v>
      </c>
      <c r="AG457" s="920"/>
      <c r="AH457" s="921"/>
      <c r="AI457" s="927">
        <v>5933.07</v>
      </c>
      <c r="AJ457" s="920"/>
      <c r="AK457" s="921"/>
      <c r="AL457" s="927">
        <v>5933.07</v>
      </c>
      <c r="AM457" s="920"/>
      <c r="AN457" s="921"/>
      <c r="AO457" s="927">
        <v>5933.07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25">
      <c r="A458" s="539" t="str">
        <f t="shared" si="8"/>
        <v>Taxes d`affaires</v>
      </c>
      <c r="B458" s="636" t="s">
        <v>228</v>
      </c>
      <c r="C458" s="922"/>
      <c r="D458" s="923"/>
      <c r="E458" s="938">
        <v>30513</v>
      </c>
      <c r="F458" s="922"/>
      <c r="G458" s="923"/>
      <c r="H458" s="938">
        <v>2542.75</v>
      </c>
      <c r="I458" s="922"/>
      <c r="J458" s="923"/>
      <c r="K458" s="938">
        <v>2542.75</v>
      </c>
      <c r="L458" s="922"/>
      <c r="M458" s="923"/>
      <c r="N458" s="938">
        <v>2542.75</v>
      </c>
      <c r="O458" s="922"/>
      <c r="P458" s="923"/>
      <c r="Q458" s="938">
        <v>2542.75</v>
      </c>
      <c r="R458" s="922"/>
      <c r="S458" s="923"/>
      <c r="T458" s="938">
        <v>2542.75</v>
      </c>
      <c r="U458" s="922"/>
      <c r="V458" s="923"/>
      <c r="W458" s="938">
        <v>2542.75</v>
      </c>
      <c r="X458" s="922"/>
      <c r="Y458" s="923"/>
      <c r="Z458" s="938">
        <v>2542.75</v>
      </c>
      <c r="AA458" s="922"/>
      <c r="AB458" s="923"/>
      <c r="AC458" s="938">
        <v>2542.75</v>
      </c>
      <c r="AD458" s="922"/>
      <c r="AE458" s="923"/>
      <c r="AF458" s="938">
        <v>2542.75</v>
      </c>
      <c r="AG458" s="922"/>
      <c r="AH458" s="923"/>
      <c r="AI458" s="938">
        <v>2542.75</v>
      </c>
      <c r="AJ458" s="922"/>
      <c r="AK458" s="923"/>
      <c r="AL458" s="938">
        <v>2542.75</v>
      </c>
      <c r="AM458" s="922"/>
      <c r="AN458" s="923"/>
      <c r="AO458" s="938">
        <v>2542.75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25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25">
      <c r="A460" s="539" t="str">
        <f t="shared" si="8"/>
        <v>Assurances</v>
      </c>
      <c r="B460" s="636" t="s">
        <v>231</v>
      </c>
      <c r="C460" s="922"/>
      <c r="D460" s="923"/>
      <c r="E460" s="938">
        <v>58248</v>
      </c>
      <c r="F460" s="922"/>
      <c r="G460" s="923"/>
      <c r="H460" s="938">
        <v>4854</v>
      </c>
      <c r="I460" s="922"/>
      <c r="J460" s="923"/>
      <c r="K460" s="938">
        <v>4854</v>
      </c>
      <c r="L460" s="922"/>
      <c r="M460" s="923"/>
      <c r="N460" s="938">
        <v>4854</v>
      </c>
      <c r="O460" s="922"/>
      <c r="P460" s="923"/>
      <c r="Q460" s="938">
        <v>4854</v>
      </c>
      <c r="R460" s="922"/>
      <c r="S460" s="923"/>
      <c r="T460" s="938">
        <v>4854</v>
      </c>
      <c r="U460" s="922"/>
      <c r="V460" s="923"/>
      <c r="W460" s="938">
        <v>4854</v>
      </c>
      <c r="X460" s="922"/>
      <c r="Y460" s="923"/>
      <c r="Z460" s="938">
        <v>4854</v>
      </c>
      <c r="AA460" s="922"/>
      <c r="AB460" s="923"/>
      <c r="AC460" s="938">
        <v>4854</v>
      </c>
      <c r="AD460" s="922"/>
      <c r="AE460" s="923"/>
      <c r="AF460" s="938">
        <v>4854</v>
      </c>
      <c r="AG460" s="922"/>
      <c r="AH460" s="923"/>
      <c r="AI460" s="938">
        <v>4854</v>
      </c>
      <c r="AJ460" s="922"/>
      <c r="AK460" s="923"/>
      <c r="AL460" s="938">
        <v>4854</v>
      </c>
      <c r="AM460" s="922"/>
      <c r="AN460" s="923"/>
      <c r="AO460" s="938">
        <v>4854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25">
      <c r="A461" s="539" t="str">
        <f t="shared" si="8"/>
        <v>Chauffage, éclairage</v>
      </c>
      <c r="B461" s="639" t="s">
        <v>233</v>
      </c>
      <c r="C461" s="920"/>
      <c r="D461" s="921"/>
      <c r="E461" s="927">
        <v>60000</v>
      </c>
      <c r="F461" s="920"/>
      <c r="G461" s="921"/>
      <c r="H461" s="927">
        <v>5000</v>
      </c>
      <c r="I461" s="920"/>
      <c r="J461" s="921"/>
      <c r="K461" s="927">
        <v>5000</v>
      </c>
      <c r="L461" s="920"/>
      <c r="M461" s="921"/>
      <c r="N461" s="927">
        <v>5000</v>
      </c>
      <c r="O461" s="920"/>
      <c r="P461" s="921"/>
      <c r="Q461" s="927">
        <v>5000</v>
      </c>
      <c r="R461" s="920"/>
      <c r="S461" s="921"/>
      <c r="T461" s="927">
        <v>5000</v>
      </c>
      <c r="U461" s="920"/>
      <c r="V461" s="921"/>
      <c r="W461" s="927">
        <v>5000</v>
      </c>
      <c r="X461" s="920"/>
      <c r="Y461" s="921"/>
      <c r="Z461" s="927">
        <v>5000</v>
      </c>
      <c r="AA461" s="920"/>
      <c r="AB461" s="921"/>
      <c r="AC461" s="927">
        <v>5000</v>
      </c>
      <c r="AD461" s="920"/>
      <c r="AE461" s="921"/>
      <c r="AF461" s="927">
        <v>5000</v>
      </c>
      <c r="AG461" s="920"/>
      <c r="AH461" s="921"/>
      <c r="AI461" s="927">
        <v>5000</v>
      </c>
      <c r="AJ461" s="920"/>
      <c r="AK461" s="921"/>
      <c r="AL461" s="927">
        <v>5000</v>
      </c>
      <c r="AM461" s="920"/>
      <c r="AN461" s="921"/>
      <c r="AO461" s="927">
        <v>5000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25">
      <c r="A462" s="539" t="str">
        <f t="shared" si="8"/>
        <v>Honoraires</v>
      </c>
      <c r="B462" s="639" t="s">
        <v>235</v>
      </c>
      <c r="C462" s="920"/>
      <c r="D462" s="921"/>
      <c r="E462" s="927">
        <v>78496</v>
      </c>
      <c r="F462" s="920"/>
      <c r="G462" s="921"/>
      <c r="H462" s="927">
        <v>6541.333333333333</v>
      </c>
      <c r="I462" s="920"/>
      <c r="J462" s="921"/>
      <c r="K462" s="927">
        <v>6541.333333333333</v>
      </c>
      <c r="L462" s="920"/>
      <c r="M462" s="921"/>
      <c r="N462" s="927">
        <v>6541.333333333333</v>
      </c>
      <c r="O462" s="920"/>
      <c r="P462" s="921"/>
      <c r="Q462" s="927">
        <v>6541.333333333333</v>
      </c>
      <c r="R462" s="920"/>
      <c r="S462" s="921"/>
      <c r="T462" s="927">
        <v>6541.333333333333</v>
      </c>
      <c r="U462" s="920"/>
      <c r="V462" s="921"/>
      <c r="W462" s="927">
        <v>6541.333333333333</v>
      </c>
      <c r="X462" s="920"/>
      <c r="Y462" s="921"/>
      <c r="Z462" s="927">
        <v>6541.333333333333</v>
      </c>
      <c r="AA462" s="920"/>
      <c r="AB462" s="921"/>
      <c r="AC462" s="927">
        <v>6541.333333333333</v>
      </c>
      <c r="AD462" s="920"/>
      <c r="AE462" s="921"/>
      <c r="AF462" s="927">
        <v>6541.333333333333</v>
      </c>
      <c r="AG462" s="920"/>
      <c r="AH462" s="921"/>
      <c r="AI462" s="927">
        <v>6541.333333333333</v>
      </c>
      <c r="AJ462" s="920"/>
      <c r="AK462" s="921"/>
      <c r="AL462" s="927">
        <v>6541.333333333333</v>
      </c>
      <c r="AM462" s="920"/>
      <c r="AN462" s="921"/>
      <c r="AO462" s="927">
        <v>6541.333333333333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25">
      <c r="A463" s="539" t="str">
        <f t="shared" si="8"/>
        <v>Réparation équipement</v>
      </c>
      <c r="B463" s="636" t="s">
        <v>237</v>
      </c>
      <c r="C463" s="922"/>
      <c r="D463" s="923"/>
      <c r="E463" s="938">
        <v>5200</v>
      </c>
      <c r="F463" s="922"/>
      <c r="G463" s="923"/>
      <c r="H463" s="938">
        <v>433.33333333333331</v>
      </c>
      <c r="I463" s="922"/>
      <c r="J463" s="923"/>
      <c r="K463" s="938">
        <v>433.33333333333331</v>
      </c>
      <c r="L463" s="922"/>
      <c r="M463" s="923"/>
      <c r="N463" s="938">
        <v>433.33333333333331</v>
      </c>
      <c r="O463" s="922"/>
      <c r="P463" s="923"/>
      <c r="Q463" s="938">
        <v>433.33333333333331</v>
      </c>
      <c r="R463" s="922"/>
      <c r="S463" s="923"/>
      <c r="T463" s="938">
        <v>433.33333333333331</v>
      </c>
      <c r="U463" s="922"/>
      <c r="V463" s="923"/>
      <c r="W463" s="938">
        <v>433.33333333333331</v>
      </c>
      <c r="X463" s="922"/>
      <c r="Y463" s="923"/>
      <c r="Z463" s="938">
        <v>433.33333333333331</v>
      </c>
      <c r="AA463" s="922"/>
      <c r="AB463" s="923"/>
      <c r="AC463" s="938">
        <v>433.33333333333331</v>
      </c>
      <c r="AD463" s="922"/>
      <c r="AE463" s="923"/>
      <c r="AF463" s="938">
        <v>433.33333333333331</v>
      </c>
      <c r="AG463" s="922"/>
      <c r="AH463" s="923"/>
      <c r="AI463" s="938">
        <v>433.33333333333331</v>
      </c>
      <c r="AJ463" s="922"/>
      <c r="AK463" s="923"/>
      <c r="AL463" s="938">
        <v>433.33333333333331</v>
      </c>
      <c r="AM463" s="922"/>
      <c r="AN463" s="923"/>
      <c r="AO463" s="938">
        <v>433.33333333333331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25">
      <c r="A464" s="539" t="str">
        <f t="shared" si="8"/>
        <v>Location équipement</v>
      </c>
      <c r="B464" s="639" t="s">
        <v>239</v>
      </c>
      <c r="C464" s="920"/>
      <c r="D464" s="921"/>
      <c r="E464" s="927">
        <v>2544.0000000000005</v>
      </c>
      <c r="F464" s="920"/>
      <c r="G464" s="921"/>
      <c r="H464" s="927">
        <v>212.00000000000003</v>
      </c>
      <c r="I464" s="920"/>
      <c r="J464" s="921"/>
      <c r="K464" s="927">
        <v>212.00000000000003</v>
      </c>
      <c r="L464" s="920"/>
      <c r="M464" s="921"/>
      <c r="N464" s="927">
        <v>212.00000000000003</v>
      </c>
      <c r="O464" s="920"/>
      <c r="P464" s="921"/>
      <c r="Q464" s="927">
        <v>212.00000000000003</v>
      </c>
      <c r="R464" s="920"/>
      <c r="S464" s="921"/>
      <c r="T464" s="927">
        <v>212.00000000000003</v>
      </c>
      <c r="U464" s="920"/>
      <c r="V464" s="921"/>
      <c r="W464" s="927">
        <v>212.00000000000003</v>
      </c>
      <c r="X464" s="920"/>
      <c r="Y464" s="921"/>
      <c r="Z464" s="927">
        <v>212.00000000000003</v>
      </c>
      <c r="AA464" s="920"/>
      <c r="AB464" s="921"/>
      <c r="AC464" s="927">
        <v>212.00000000000003</v>
      </c>
      <c r="AD464" s="920"/>
      <c r="AE464" s="921"/>
      <c r="AF464" s="927">
        <v>212.00000000000003</v>
      </c>
      <c r="AG464" s="920"/>
      <c r="AH464" s="921"/>
      <c r="AI464" s="927">
        <v>212.00000000000003</v>
      </c>
      <c r="AJ464" s="920"/>
      <c r="AK464" s="921"/>
      <c r="AL464" s="927">
        <v>212.00000000000003</v>
      </c>
      <c r="AM464" s="920"/>
      <c r="AN464" s="921"/>
      <c r="AO464" s="927">
        <v>212.00000000000003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25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>
        <v>0</v>
      </c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25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25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25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25">
      <c r="A469" s="539" t="str">
        <f t="shared" si="8"/>
        <v>TOTAL DÉPENSES FIXES</v>
      </c>
      <c r="B469" s="641" t="s">
        <v>243</v>
      </c>
      <c r="C469" s="924">
        <v>0.19924314794735962</v>
      </c>
      <c r="D469" s="925"/>
      <c r="E469" s="926">
        <v>906197.84</v>
      </c>
      <c r="F469" s="924">
        <v>0.29835890356186773</v>
      </c>
      <c r="G469" s="925"/>
      <c r="H469" s="926">
        <v>75516.486666666664</v>
      </c>
      <c r="I469" s="924">
        <v>0.30479315424588177</v>
      </c>
      <c r="J469" s="925"/>
      <c r="K469" s="926">
        <v>75516.486666666664</v>
      </c>
      <c r="L469" s="924">
        <v>0.20493667388859324</v>
      </c>
      <c r="M469" s="925"/>
      <c r="N469" s="926">
        <v>75516.486666666664</v>
      </c>
      <c r="O469" s="924">
        <v>0.15698595973495069</v>
      </c>
      <c r="P469" s="925"/>
      <c r="Q469" s="926">
        <v>75516.486666666664</v>
      </c>
      <c r="R469" s="924">
        <v>0.13925372359039426</v>
      </c>
      <c r="S469" s="925"/>
      <c r="T469" s="926">
        <v>75516.486666666664</v>
      </c>
      <c r="U469" s="924">
        <v>0.19674201495539403</v>
      </c>
      <c r="V469" s="925"/>
      <c r="W469" s="926">
        <v>75516.486666666664</v>
      </c>
      <c r="X469" s="924">
        <v>0.20896230871352695</v>
      </c>
      <c r="Y469" s="925"/>
      <c r="Z469" s="926">
        <v>75516.486666666664</v>
      </c>
      <c r="AA469" s="924">
        <v>0.1991891440467366</v>
      </c>
      <c r="AB469" s="925"/>
      <c r="AC469" s="926">
        <v>75516.486666666664</v>
      </c>
      <c r="AD469" s="924">
        <v>0.19285931166555639</v>
      </c>
      <c r="AE469" s="925"/>
      <c r="AF469" s="926">
        <v>75516.486666666664</v>
      </c>
      <c r="AG469" s="924">
        <v>0.17806025872193001</v>
      </c>
      <c r="AH469" s="925"/>
      <c r="AI469" s="926">
        <v>75516.486666666664</v>
      </c>
      <c r="AJ469" s="924">
        <v>0.17330372050561715</v>
      </c>
      <c r="AK469" s="925"/>
      <c r="AL469" s="926">
        <v>75516.486666666664</v>
      </c>
      <c r="AM469" s="924">
        <v>0.26994026099900326</v>
      </c>
      <c r="AN469" s="925"/>
      <c r="AO469" s="926">
        <v>75516.486666666664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25">
      <c r="A470" s="539">
        <f t="shared" si="8"/>
        <v>0</v>
      </c>
      <c r="B470" s="639"/>
      <c r="C470" s="939"/>
      <c r="D470" s="940"/>
      <c r="E470" s="941">
        <v>215580.60460588237</v>
      </c>
      <c r="F470" s="939"/>
      <c r="G470" s="940"/>
      <c r="H470" s="941">
        <v>15817.082319227809</v>
      </c>
      <c r="I470" s="939"/>
      <c r="J470" s="940"/>
      <c r="K470" s="941">
        <v>15698.040018551021</v>
      </c>
      <c r="L470" s="939"/>
      <c r="M470" s="940"/>
      <c r="N470" s="941">
        <v>18279.202024883711</v>
      </c>
      <c r="O470" s="939"/>
      <c r="P470" s="940"/>
      <c r="Q470" s="941">
        <v>20495.403460081016</v>
      </c>
      <c r="R470" s="939"/>
      <c r="S470" s="940"/>
      <c r="T470" s="941">
        <v>20825.446573354267</v>
      </c>
      <c r="U470" s="939"/>
      <c r="V470" s="940"/>
      <c r="W470" s="941">
        <v>17999.284855866299</v>
      </c>
      <c r="X470" s="939"/>
      <c r="Y470" s="940"/>
      <c r="Z470" s="941">
        <v>17393.704620486486</v>
      </c>
      <c r="AA470" s="939"/>
      <c r="AB470" s="940"/>
      <c r="AC470" s="941">
        <v>18404.825672439245</v>
      </c>
      <c r="AD470" s="939"/>
      <c r="AE470" s="940"/>
      <c r="AF470" s="941">
        <v>18359.032467390472</v>
      </c>
      <c r="AG470" s="939"/>
      <c r="AH470" s="940"/>
      <c r="AI470" s="941">
        <v>18325.328747815798</v>
      </c>
      <c r="AJ470" s="939"/>
      <c r="AK470" s="940"/>
      <c r="AL470" s="941">
        <v>17800.807321660526</v>
      </c>
      <c r="AM470" s="939"/>
      <c r="AN470" s="940"/>
      <c r="AO470" s="941">
        <v>16182.446524125682</v>
      </c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25">
      <c r="A471" s="539" t="str">
        <f t="shared" si="8"/>
        <v>TOTAL DES DÉPENSES</v>
      </c>
      <c r="B471" s="641" t="s">
        <v>133</v>
      </c>
      <c r="C471" s="924">
        <v>1.1539911789365309</v>
      </c>
      <c r="D471" s="925"/>
      <c r="E471" s="926">
        <v>5248583.5749173425</v>
      </c>
      <c r="F471" s="924">
        <v>1.6348001101261123</v>
      </c>
      <c r="G471" s="925"/>
      <c r="H471" s="926">
        <v>413778.03459250298</v>
      </c>
      <c r="I471" s="924">
        <v>1.5802001313784004</v>
      </c>
      <c r="J471" s="925"/>
      <c r="K471" s="926">
        <v>391515.23086911405</v>
      </c>
      <c r="L471" s="924">
        <v>1.206064867948982</v>
      </c>
      <c r="M471" s="925"/>
      <c r="N471" s="926">
        <v>444419.14563869464</v>
      </c>
      <c r="O471" s="924">
        <v>1.0151232970558672</v>
      </c>
      <c r="P471" s="925"/>
      <c r="Q471" s="926">
        <v>488314.6560149045</v>
      </c>
      <c r="R471" s="924">
        <v>0.89391442584903413</v>
      </c>
      <c r="S471" s="925"/>
      <c r="T471" s="926">
        <v>484764.60866017442</v>
      </c>
      <c r="U471" s="924">
        <v>1.1191979853826506</v>
      </c>
      <c r="V471" s="925"/>
      <c r="W471" s="926">
        <v>429587.44607587403</v>
      </c>
      <c r="X471" s="924">
        <v>1.1842067235944371</v>
      </c>
      <c r="Y471" s="925"/>
      <c r="Z471" s="926">
        <v>427958.1892229896</v>
      </c>
      <c r="AA471" s="924">
        <v>1.143923282656639</v>
      </c>
      <c r="AB471" s="925"/>
      <c r="AC471" s="926">
        <v>433683.61130243493</v>
      </c>
      <c r="AD471" s="924">
        <v>1.1214169419624289</v>
      </c>
      <c r="AE471" s="925"/>
      <c r="AF471" s="926">
        <v>439104.89368714381</v>
      </c>
      <c r="AG471" s="924">
        <v>1.0711117264458054</v>
      </c>
      <c r="AH471" s="925"/>
      <c r="AI471" s="926">
        <v>454265.28630946518</v>
      </c>
      <c r="AJ471" s="924">
        <v>0.96724246889110199</v>
      </c>
      <c r="AK471" s="925"/>
      <c r="AL471" s="926">
        <v>421472.50383514515</v>
      </c>
      <c r="AM471" s="924">
        <v>1.5003255964473321</v>
      </c>
      <c r="AN471" s="925"/>
      <c r="AO471" s="926">
        <v>419719.96870889899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0</v>
      </c>
      <c r="F472" s="942"/>
      <c r="G472" s="943"/>
      <c r="H472" s="944">
        <v>0</v>
      </c>
      <c r="I472" s="942"/>
      <c r="J472" s="943"/>
      <c r="K472" s="944">
        <v>0</v>
      </c>
      <c r="L472" s="942"/>
      <c r="M472" s="943"/>
      <c r="N472" s="944">
        <v>0</v>
      </c>
      <c r="O472" s="942"/>
      <c r="P472" s="943"/>
      <c r="Q472" s="944">
        <v>0</v>
      </c>
      <c r="R472" s="942"/>
      <c r="S472" s="943"/>
      <c r="T472" s="944">
        <v>0</v>
      </c>
      <c r="U472" s="942"/>
      <c r="V472" s="943"/>
      <c r="W472" s="944">
        <v>0</v>
      </c>
      <c r="X472" s="942"/>
      <c r="Y472" s="943"/>
      <c r="Z472" s="944">
        <v>0</v>
      </c>
      <c r="AA472" s="942"/>
      <c r="AB472" s="943"/>
      <c r="AC472" s="944">
        <v>0</v>
      </c>
      <c r="AD472" s="942"/>
      <c r="AE472" s="943"/>
      <c r="AF472" s="944">
        <v>0</v>
      </c>
      <c r="AG472" s="942"/>
      <c r="AH472" s="943"/>
      <c r="AI472" s="944">
        <v>0</v>
      </c>
      <c r="AJ472" s="942"/>
      <c r="AK472" s="943"/>
      <c r="AL472" s="944">
        <v>0</v>
      </c>
      <c r="AM472" s="942"/>
      <c r="AN472" s="943"/>
      <c r="AO472" s="944">
        <v>0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470608.44</v>
      </c>
      <c r="F473" s="945"/>
      <c r="G473" s="946"/>
      <c r="H473" s="919">
        <v>25669.551272727276</v>
      </c>
      <c r="I473" s="945"/>
      <c r="J473" s="946"/>
      <c r="K473" s="919">
        <v>22246.944436363639</v>
      </c>
      <c r="L473" s="945"/>
      <c r="M473" s="946"/>
      <c r="N473" s="919">
        <v>44493.888872727279</v>
      </c>
      <c r="O473" s="945"/>
      <c r="P473" s="946"/>
      <c r="Q473" s="919">
        <v>56473.012800000004</v>
      </c>
      <c r="R473" s="945"/>
      <c r="S473" s="946"/>
      <c r="T473" s="919">
        <v>61606.923054545456</v>
      </c>
      <c r="U473" s="945"/>
      <c r="V473" s="946"/>
      <c r="W473" s="919">
        <v>39359.97861818182</v>
      </c>
      <c r="X473" s="945"/>
      <c r="Y473" s="946"/>
      <c r="Z473" s="919">
        <v>29092.158109090909</v>
      </c>
      <c r="AA473" s="945"/>
      <c r="AB473" s="946"/>
      <c r="AC473" s="919">
        <v>37648.675199999998</v>
      </c>
      <c r="AD473" s="945"/>
      <c r="AE473" s="946"/>
      <c r="AF473" s="919">
        <v>44493.888872727279</v>
      </c>
      <c r="AG473" s="945"/>
      <c r="AH473" s="946"/>
      <c r="AI473" s="919">
        <v>42782.585454545457</v>
      </c>
      <c r="AJ473" s="945"/>
      <c r="AK473" s="946"/>
      <c r="AL473" s="919">
        <v>35937.371781818183</v>
      </c>
      <c r="AM473" s="945"/>
      <c r="AN473" s="946"/>
      <c r="AO473" s="919">
        <v>30803.461527272728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435312.80699999997</v>
      </c>
      <c r="F474" s="945"/>
      <c r="G474" s="946"/>
      <c r="H474" s="919">
        <v>23744.334927272728</v>
      </c>
      <c r="I474" s="945"/>
      <c r="J474" s="946"/>
      <c r="K474" s="919">
        <v>20578.423603636365</v>
      </c>
      <c r="L474" s="945"/>
      <c r="M474" s="946"/>
      <c r="N474" s="919">
        <v>41156.847207272731</v>
      </c>
      <c r="O474" s="945"/>
      <c r="P474" s="946"/>
      <c r="Q474" s="919">
        <v>52237.536840000001</v>
      </c>
      <c r="R474" s="945"/>
      <c r="S474" s="946"/>
      <c r="T474" s="919">
        <v>56986.403825454545</v>
      </c>
      <c r="U474" s="945"/>
      <c r="V474" s="946"/>
      <c r="W474" s="919">
        <v>36407.980221818179</v>
      </c>
      <c r="X474" s="945"/>
      <c r="Y474" s="946"/>
      <c r="Z474" s="919">
        <v>26910.246250909091</v>
      </c>
      <c r="AA474" s="945"/>
      <c r="AB474" s="946"/>
      <c r="AC474" s="919">
        <v>34825.024559999998</v>
      </c>
      <c r="AD474" s="945"/>
      <c r="AE474" s="946"/>
      <c r="AF474" s="919">
        <v>41156.847207272731</v>
      </c>
      <c r="AG474" s="945"/>
      <c r="AH474" s="946"/>
      <c r="AI474" s="919">
        <v>39573.891545454549</v>
      </c>
      <c r="AJ474" s="945"/>
      <c r="AK474" s="946"/>
      <c r="AL474" s="919">
        <v>33242.068898181817</v>
      </c>
      <c r="AM474" s="945"/>
      <c r="AN474" s="946"/>
      <c r="AO474" s="919">
        <v>28493.201912727272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28125</v>
      </c>
      <c r="F477" s="945"/>
      <c r="G477" s="946"/>
      <c r="H477" s="919">
        <v>1500</v>
      </c>
      <c r="I477" s="945"/>
      <c r="J477" s="946"/>
      <c r="K477" s="919">
        <v>1875</v>
      </c>
      <c r="L477" s="945"/>
      <c r="M477" s="946"/>
      <c r="N477" s="919">
        <v>2250</v>
      </c>
      <c r="O477" s="945"/>
      <c r="P477" s="946"/>
      <c r="Q477" s="919">
        <v>3375</v>
      </c>
      <c r="R477" s="945"/>
      <c r="S477" s="946"/>
      <c r="T477" s="919">
        <v>3000</v>
      </c>
      <c r="U477" s="945"/>
      <c r="V477" s="946"/>
      <c r="W477" s="919">
        <v>2250</v>
      </c>
      <c r="X477" s="945"/>
      <c r="Y477" s="946"/>
      <c r="Z477" s="919">
        <v>2625</v>
      </c>
      <c r="AA477" s="945"/>
      <c r="AB477" s="946"/>
      <c r="AC477" s="919">
        <v>3000</v>
      </c>
      <c r="AD477" s="945"/>
      <c r="AE477" s="946"/>
      <c r="AF477" s="919">
        <v>2250</v>
      </c>
      <c r="AG477" s="945"/>
      <c r="AH477" s="946"/>
      <c r="AI477" s="919">
        <v>2250</v>
      </c>
      <c r="AJ477" s="945"/>
      <c r="AK477" s="946"/>
      <c r="AL477" s="919">
        <v>2250</v>
      </c>
      <c r="AM477" s="945"/>
      <c r="AN477" s="946"/>
      <c r="AO477" s="919">
        <v>1500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10050</v>
      </c>
      <c r="F478" s="945"/>
      <c r="G478" s="946"/>
      <c r="H478" s="919">
        <v>536</v>
      </c>
      <c r="I478" s="945"/>
      <c r="J478" s="946"/>
      <c r="K478" s="919">
        <v>670</v>
      </c>
      <c r="L478" s="945"/>
      <c r="M478" s="946"/>
      <c r="N478" s="919">
        <v>804</v>
      </c>
      <c r="O478" s="945"/>
      <c r="P478" s="946"/>
      <c r="Q478" s="919">
        <v>1206</v>
      </c>
      <c r="R478" s="945"/>
      <c r="S478" s="946"/>
      <c r="T478" s="919">
        <v>1072</v>
      </c>
      <c r="U478" s="945"/>
      <c r="V478" s="946"/>
      <c r="W478" s="919">
        <v>804</v>
      </c>
      <c r="X478" s="945"/>
      <c r="Y478" s="946"/>
      <c r="Z478" s="919">
        <v>938</v>
      </c>
      <c r="AA478" s="945"/>
      <c r="AB478" s="946"/>
      <c r="AC478" s="919">
        <v>1072</v>
      </c>
      <c r="AD478" s="945"/>
      <c r="AE478" s="946"/>
      <c r="AF478" s="919">
        <v>804</v>
      </c>
      <c r="AG478" s="945"/>
      <c r="AH478" s="946"/>
      <c r="AI478" s="919">
        <v>804</v>
      </c>
      <c r="AJ478" s="945"/>
      <c r="AK478" s="946"/>
      <c r="AL478" s="919">
        <v>804</v>
      </c>
      <c r="AM478" s="945"/>
      <c r="AN478" s="946"/>
      <c r="AO478" s="919">
        <v>536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247069.43100000004</v>
      </c>
      <c r="F480" s="945"/>
      <c r="G480" s="946"/>
      <c r="H480" s="919">
        <v>13476.51441818182</v>
      </c>
      <c r="I480" s="945"/>
      <c r="J480" s="946"/>
      <c r="K480" s="919">
        <v>11679.64582909091</v>
      </c>
      <c r="L480" s="945"/>
      <c r="M480" s="946"/>
      <c r="N480" s="919">
        <v>23359.291658181821</v>
      </c>
      <c r="O480" s="945"/>
      <c r="P480" s="946"/>
      <c r="Q480" s="919">
        <v>29648.331720000002</v>
      </c>
      <c r="R480" s="945"/>
      <c r="S480" s="946"/>
      <c r="T480" s="919">
        <v>32343.634603636368</v>
      </c>
      <c r="U480" s="945"/>
      <c r="V480" s="946"/>
      <c r="W480" s="919">
        <v>20663.988774545454</v>
      </c>
      <c r="X480" s="945"/>
      <c r="Y480" s="946"/>
      <c r="Z480" s="919">
        <v>15273.383007272729</v>
      </c>
      <c r="AA480" s="945"/>
      <c r="AB480" s="946"/>
      <c r="AC480" s="919">
        <v>19765.554480000003</v>
      </c>
      <c r="AD480" s="945"/>
      <c r="AE480" s="946"/>
      <c r="AF480" s="919">
        <v>23359.291658181821</v>
      </c>
      <c r="AG480" s="945"/>
      <c r="AH480" s="946"/>
      <c r="AI480" s="919">
        <v>22460.857363636369</v>
      </c>
      <c r="AJ480" s="945"/>
      <c r="AK480" s="946"/>
      <c r="AL480" s="919">
        <v>18867.120185454547</v>
      </c>
      <c r="AM480" s="945"/>
      <c r="AN480" s="946"/>
      <c r="AO480" s="919">
        <v>16171.817301818184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270528.64999999997</v>
      </c>
      <c r="F483" s="947"/>
      <c r="G483" s="946"/>
      <c r="H483" s="919">
        <v>14717.325000000001</v>
      </c>
      <c r="I483" s="947"/>
      <c r="J483" s="946"/>
      <c r="K483" s="919">
        <v>15026.724999999999</v>
      </c>
      <c r="L483" s="947"/>
      <c r="M483" s="946"/>
      <c r="N483" s="919">
        <v>23541.174999999999</v>
      </c>
      <c r="O483" s="947"/>
      <c r="P483" s="946"/>
      <c r="Q483" s="919">
        <v>32088.35</v>
      </c>
      <c r="R483" s="947"/>
      <c r="S483" s="946"/>
      <c r="T483" s="919">
        <v>32951.1</v>
      </c>
      <c r="U483" s="947"/>
      <c r="V483" s="946"/>
      <c r="W483" s="919">
        <v>22369.025000000001</v>
      </c>
      <c r="X483" s="947"/>
      <c r="Y483" s="946"/>
      <c r="Z483" s="919">
        <v>20334.125</v>
      </c>
      <c r="AA483" s="947"/>
      <c r="AB483" s="946"/>
      <c r="AC483" s="919">
        <v>24746.05</v>
      </c>
      <c r="AD483" s="947"/>
      <c r="AE483" s="946"/>
      <c r="AF483" s="919">
        <v>23541.174999999999</v>
      </c>
      <c r="AG483" s="947"/>
      <c r="AH483" s="946"/>
      <c r="AI483" s="919">
        <v>23541.174999999999</v>
      </c>
      <c r="AJ483" s="947"/>
      <c r="AK483" s="946"/>
      <c r="AL483" s="919">
        <v>21196.875</v>
      </c>
      <c r="AM483" s="947"/>
      <c r="AN483" s="946"/>
      <c r="AO483" s="919">
        <v>16475.55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25">
      <c r="A484" s="539" t="str">
        <f t="shared" si="9"/>
        <v>TOTAL AUTRES REVENUS</v>
      </c>
      <c r="B484" s="641" t="s">
        <v>245</v>
      </c>
      <c r="C484" s="924">
        <v>0.32137858466703079</v>
      </c>
      <c r="D484" s="948"/>
      <c r="E484" s="926">
        <v>1461694.328</v>
      </c>
      <c r="F484" s="924">
        <v>0.31466525655399441</v>
      </c>
      <c r="G484" s="948"/>
      <c r="H484" s="926">
        <v>79643.725618181823</v>
      </c>
      <c r="I484" s="924">
        <v>0.29090993976768209</v>
      </c>
      <c r="J484" s="948"/>
      <c r="K484" s="926">
        <v>72076.738869090914</v>
      </c>
      <c r="L484" s="924">
        <v>0.36800545732244966</v>
      </c>
      <c r="M484" s="948"/>
      <c r="N484" s="926">
        <v>135605.2027381818</v>
      </c>
      <c r="O484" s="924">
        <v>0.36385398862695056</v>
      </c>
      <c r="P484" s="948"/>
      <c r="Q484" s="926">
        <v>175028.23136000001</v>
      </c>
      <c r="R484" s="924">
        <v>0.34660164426623413</v>
      </c>
      <c r="S484" s="948"/>
      <c r="T484" s="926">
        <v>187960.06148363638</v>
      </c>
      <c r="U484" s="924">
        <v>0.31746700492492941</v>
      </c>
      <c r="V484" s="948"/>
      <c r="W484" s="926">
        <v>121854.97261454546</v>
      </c>
      <c r="X484" s="924">
        <v>0.26335377045598107</v>
      </c>
      <c r="Y484" s="948"/>
      <c r="Z484" s="926">
        <v>95172.912367272729</v>
      </c>
      <c r="AA484" s="924">
        <v>0.31931174074090901</v>
      </c>
      <c r="AB484" s="948"/>
      <c r="AC484" s="926">
        <v>121057.30424</v>
      </c>
      <c r="AD484" s="924">
        <v>0.34631809837490629</v>
      </c>
      <c r="AE484" s="948"/>
      <c r="AF484" s="926">
        <v>135605.2027381818</v>
      </c>
      <c r="AG484" s="924">
        <v>0.30985744238702412</v>
      </c>
      <c r="AH484" s="948"/>
      <c r="AI484" s="926">
        <v>131412.50936363637</v>
      </c>
      <c r="AJ484" s="924">
        <v>0.25771277634549478</v>
      </c>
      <c r="AK484" s="948"/>
      <c r="AL484" s="926">
        <v>112297.43586545455</v>
      </c>
      <c r="AM484" s="924">
        <v>0.33593980794049233</v>
      </c>
      <c r="AN484" s="948"/>
      <c r="AO484" s="926">
        <v>93980.030741818191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227701.84</v>
      </c>
      <c r="F485" s="949"/>
      <c r="G485" s="950"/>
      <c r="H485" s="951">
        <v>18975.153333333332</v>
      </c>
      <c r="I485" s="949"/>
      <c r="J485" s="950"/>
      <c r="K485" s="951">
        <v>18975.153333333332</v>
      </c>
      <c r="L485" s="949"/>
      <c r="M485" s="950"/>
      <c r="N485" s="951">
        <v>18975.153333333332</v>
      </c>
      <c r="O485" s="949"/>
      <c r="P485" s="950"/>
      <c r="Q485" s="951">
        <v>18975.153333333332</v>
      </c>
      <c r="R485" s="949"/>
      <c r="S485" s="950"/>
      <c r="T485" s="951">
        <v>18975.153333333332</v>
      </c>
      <c r="U485" s="949"/>
      <c r="V485" s="950"/>
      <c r="W485" s="951">
        <v>18975.153333333332</v>
      </c>
      <c r="X485" s="949"/>
      <c r="Y485" s="950"/>
      <c r="Z485" s="951">
        <v>18975.153333333332</v>
      </c>
      <c r="AA485" s="949"/>
      <c r="AB485" s="950"/>
      <c r="AC485" s="951">
        <v>18975.153333333332</v>
      </c>
      <c r="AD485" s="949"/>
      <c r="AE485" s="950"/>
      <c r="AF485" s="951">
        <v>18975.153333333332</v>
      </c>
      <c r="AG485" s="949"/>
      <c r="AH485" s="950"/>
      <c r="AI485" s="951">
        <v>18975.153333333332</v>
      </c>
      <c r="AJ485" s="949"/>
      <c r="AK485" s="950"/>
      <c r="AL485" s="951">
        <v>18975.153333333332</v>
      </c>
      <c r="AM485" s="949"/>
      <c r="AN485" s="950"/>
      <c r="AO485" s="951">
        <v>18975.153333333332</v>
      </c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75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1.5996719649017058E-2</v>
      </c>
      <c r="E486" s="954">
        <v>761311.5285463084</v>
      </c>
      <c r="F486" s="952" t="s">
        <v>247</v>
      </c>
      <c r="G486" s="953">
        <v>-3.0413921068396237E-2</v>
      </c>
      <c r="H486" s="954">
        <v>-81028.11450472135</v>
      </c>
      <c r="I486" s="952" t="s">
        <v>247</v>
      </c>
      <c r="J486" s="953">
        <v>-2.7652218353234025E-2</v>
      </c>
      <c r="K486" s="954">
        <v>-71675.425098112843</v>
      </c>
      <c r="L486" s="952" t="s">
        <v>247</v>
      </c>
      <c r="M486" s="953">
        <v>1.4356989125135481E-2</v>
      </c>
      <c r="N486" s="954">
        <v>59672.991301018104</v>
      </c>
      <c r="O486" s="952" t="s">
        <v>247</v>
      </c>
      <c r="P486" s="953">
        <v>3.0503240779155998E-2</v>
      </c>
      <c r="Q486" s="954">
        <v>167753.32434026626</v>
      </c>
      <c r="R486" s="952" t="s">
        <v>247</v>
      </c>
      <c r="S486" s="953">
        <v>4.3071754758959233E-2</v>
      </c>
      <c r="T486" s="954">
        <v>245489.65307618538</v>
      </c>
      <c r="U486" s="952" t="s">
        <v>247</v>
      </c>
      <c r="V486" s="953">
        <v>1.9089000437281182E-2</v>
      </c>
      <c r="W486" s="954">
        <v>76102.60459146052</v>
      </c>
      <c r="X486" s="952" t="s">
        <v>247</v>
      </c>
      <c r="Y486" s="953">
        <v>7.9019649041827001E-3</v>
      </c>
      <c r="Z486" s="954">
        <v>28602.798972803066</v>
      </c>
      <c r="AA486" s="952" t="s">
        <v>247</v>
      </c>
      <c r="AB486" s="953">
        <v>1.5710114633273979E-2</v>
      </c>
      <c r="AC486" s="954">
        <v>66493.182747451036</v>
      </c>
      <c r="AD486" s="952" t="s">
        <v>247</v>
      </c>
      <c r="AE486" s="953">
        <v>2.0943642925521765E-2</v>
      </c>
      <c r="AF486" s="954">
        <v>88062.873567612958</v>
      </c>
      <c r="AG486" s="952" t="s">
        <v>247</v>
      </c>
      <c r="AH486" s="953">
        <v>2.4198288999593302E-2</v>
      </c>
      <c r="AI486" s="954">
        <v>101253.57451465016</v>
      </c>
      <c r="AJ486" s="952" t="s">
        <v>247</v>
      </c>
      <c r="AK486" s="953">
        <v>3.2735938838161012E-2</v>
      </c>
      <c r="AL486" s="954">
        <v>126571.41483140428</v>
      </c>
      <c r="AM486" s="952" t="s">
        <v>247</v>
      </c>
      <c r="AN486" s="953">
        <v>-1.5936778813370103E-2</v>
      </c>
      <c r="AO486" s="954">
        <v>-45987.349793708941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25">
      <c r="A488" s="539"/>
      <c r="B488" s="618" t="s">
        <v>2934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25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25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246</v>
      </c>
      <c r="C492" s="956" t="s">
        <v>247</v>
      </c>
      <c r="D492" s="957">
        <v>1.5996719649017058E-2</v>
      </c>
      <c r="E492" s="958">
        <v>761311.5285463084</v>
      </c>
      <c r="F492" s="956" t="s">
        <v>247</v>
      </c>
      <c r="G492" s="957">
        <v>-3.0413921068396237E-2</v>
      </c>
      <c r="H492" s="958">
        <v>-81028.11450472135</v>
      </c>
      <c r="I492" s="956" t="s">
        <v>247</v>
      </c>
      <c r="J492" s="957">
        <v>-2.7652218353234025E-2</v>
      </c>
      <c r="K492" s="958">
        <v>-71675.425098112843</v>
      </c>
      <c r="L492" s="956" t="s">
        <v>247</v>
      </c>
      <c r="M492" s="957">
        <v>1.4356989125135481E-2</v>
      </c>
      <c r="N492" s="958">
        <v>59672.991301018104</v>
      </c>
      <c r="O492" s="956" t="s">
        <v>247</v>
      </c>
      <c r="P492" s="957">
        <v>3.0503240779155998E-2</v>
      </c>
      <c r="Q492" s="958">
        <v>167753.32434026626</v>
      </c>
      <c r="R492" s="956" t="s">
        <v>247</v>
      </c>
      <c r="S492" s="957">
        <v>4.3071754758959233E-2</v>
      </c>
      <c r="T492" s="958">
        <v>245489.65307618538</v>
      </c>
      <c r="U492" s="956" t="s">
        <v>247</v>
      </c>
      <c r="V492" s="957">
        <v>1.9089000437281182E-2</v>
      </c>
      <c r="W492" s="958">
        <v>76102.60459146052</v>
      </c>
      <c r="X492" s="956" t="s">
        <v>247</v>
      </c>
      <c r="Y492" s="957">
        <v>7.9019649041827001E-3</v>
      </c>
      <c r="Z492" s="958">
        <v>28602.798972803066</v>
      </c>
      <c r="AA492" s="956" t="s">
        <v>247</v>
      </c>
      <c r="AB492" s="957">
        <v>1.5710114633273979E-2</v>
      </c>
      <c r="AC492" s="958">
        <v>66493.182747451036</v>
      </c>
      <c r="AD492" s="956" t="s">
        <v>247</v>
      </c>
      <c r="AE492" s="957">
        <v>2.0943642925521765E-2</v>
      </c>
      <c r="AF492" s="958">
        <v>88062.873567612958</v>
      </c>
      <c r="AG492" s="956" t="s">
        <v>247</v>
      </c>
      <c r="AH492" s="957">
        <v>2.4198288999593302E-2</v>
      </c>
      <c r="AI492" s="958">
        <v>101253.57451465016</v>
      </c>
      <c r="AJ492" s="956" t="s">
        <v>247</v>
      </c>
      <c r="AK492" s="957">
        <v>3.2735938838161012E-2</v>
      </c>
      <c r="AL492" s="958">
        <v>126571.41483140428</v>
      </c>
      <c r="AM492" s="956" t="s">
        <v>247</v>
      </c>
      <c r="AN492" s="957">
        <v>-1.5936778813370103E-2</v>
      </c>
      <c r="AO492" s="958">
        <v>-45987.349793708941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25">
      <c r="A493" s="539"/>
      <c r="B493" s="647"/>
      <c r="C493" s="959"/>
      <c r="D493" s="960"/>
      <c r="E493" s="961"/>
      <c r="F493" s="959"/>
      <c r="G493" s="960"/>
      <c r="H493" s="961"/>
      <c r="I493" s="959"/>
      <c r="J493" s="960"/>
      <c r="K493" s="961"/>
      <c r="L493" s="959"/>
      <c r="M493" s="960"/>
      <c r="N493" s="961"/>
      <c r="O493" s="959"/>
      <c r="P493" s="960"/>
      <c r="Q493" s="961"/>
      <c r="R493" s="959"/>
      <c r="S493" s="960"/>
      <c r="T493" s="961"/>
      <c r="U493" s="959"/>
      <c r="V493" s="960"/>
      <c r="W493" s="961"/>
      <c r="X493" s="959"/>
      <c r="Y493" s="960"/>
      <c r="Z493" s="961"/>
      <c r="AA493" s="959"/>
      <c r="AB493" s="960"/>
      <c r="AC493" s="961"/>
      <c r="AD493" s="959"/>
      <c r="AE493" s="960"/>
      <c r="AF493" s="961"/>
      <c r="AG493" s="959"/>
      <c r="AH493" s="960"/>
      <c r="AI493" s="961"/>
      <c r="AJ493" s="959"/>
      <c r="AK493" s="960"/>
      <c r="AL493" s="961"/>
      <c r="AM493" s="959"/>
      <c r="AN493" s="960"/>
      <c r="AO493" s="961"/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25">
      <c r="A494" s="539" t="str">
        <f t="shared" ref="A494:A500" si="10">B494</f>
        <v>Amortissement</v>
      </c>
      <c r="B494" s="648" t="s">
        <v>249</v>
      </c>
      <c r="C494" s="920"/>
      <c r="D494" s="921"/>
      <c r="E494" s="927">
        <v>231600</v>
      </c>
      <c r="F494" s="920"/>
      <c r="G494" s="921"/>
      <c r="H494" s="927">
        <v>19300</v>
      </c>
      <c r="I494" s="920"/>
      <c r="J494" s="921"/>
      <c r="K494" s="927">
        <v>19300</v>
      </c>
      <c r="L494" s="920"/>
      <c r="M494" s="921"/>
      <c r="N494" s="927">
        <v>19300</v>
      </c>
      <c r="O494" s="920"/>
      <c r="P494" s="921"/>
      <c r="Q494" s="927">
        <v>19300</v>
      </c>
      <c r="R494" s="920"/>
      <c r="S494" s="921"/>
      <c r="T494" s="927">
        <v>19300</v>
      </c>
      <c r="U494" s="920"/>
      <c r="V494" s="921"/>
      <c r="W494" s="927">
        <v>19300</v>
      </c>
      <c r="X494" s="920"/>
      <c r="Y494" s="921"/>
      <c r="Z494" s="927">
        <v>19300</v>
      </c>
      <c r="AA494" s="920"/>
      <c r="AB494" s="921"/>
      <c r="AC494" s="927">
        <v>19300</v>
      </c>
      <c r="AD494" s="920"/>
      <c r="AE494" s="921"/>
      <c r="AF494" s="927">
        <v>19300</v>
      </c>
      <c r="AG494" s="920"/>
      <c r="AH494" s="921"/>
      <c r="AI494" s="927">
        <v>19300</v>
      </c>
      <c r="AJ494" s="920"/>
      <c r="AK494" s="921"/>
      <c r="AL494" s="927">
        <v>19300</v>
      </c>
      <c r="AM494" s="920"/>
      <c r="AN494" s="921"/>
      <c r="AO494" s="927">
        <v>19300</v>
      </c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25">
      <c r="A495" s="539" t="str">
        <f t="shared" si="10"/>
        <v>Intérêts sur marge</v>
      </c>
      <c r="B495" s="648" t="s">
        <v>250</v>
      </c>
      <c r="C495" s="962"/>
      <c r="D495" s="793"/>
      <c r="E495" s="927">
        <v>0</v>
      </c>
      <c r="F495" s="962"/>
      <c r="G495" s="793"/>
      <c r="H495" s="927">
        <v>0</v>
      </c>
      <c r="I495" s="962"/>
      <c r="J495" s="793"/>
      <c r="K495" s="927">
        <v>0</v>
      </c>
      <c r="L495" s="962"/>
      <c r="M495" s="793"/>
      <c r="N495" s="927">
        <v>0</v>
      </c>
      <c r="O495" s="962"/>
      <c r="P495" s="793"/>
      <c r="Q495" s="927">
        <v>0</v>
      </c>
      <c r="R495" s="962"/>
      <c r="S495" s="793"/>
      <c r="T495" s="927">
        <v>0</v>
      </c>
      <c r="U495" s="962"/>
      <c r="V495" s="793"/>
      <c r="W495" s="927">
        <v>0</v>
      </c>
      <c r="X495" s="962"/>
      <c r="Y495" s="793"/>
      <c r="Z495" s="927">
        <v>0</v>
      </c>
      <c r="AA495" s="962"/>
      <c r="AB495" s="793"/>
      <c r="AC495" s="927">
        <v>0</v>
      </c>
      <c r="AD495" s="962"/>
      <c r="AE495" s="793"/>
      <c r="AF495" s="927">
        <v>0</v>
      </c>
      <c r="AG495" s="962"/>
      <c r="AH495" s="793"/>
      <c r="AI495" s="927">
        <v>0</v>
      </c>
      <c r="AJ495" s="962"/>
      <c r="AK495" s="793"/>
      <c r="AL495" s="927">
        <v>0</v>
      </c>
      <c r="AM495" s="962"/>
      <c r="AN495" s="793"/>
      <c r="AO495" s="927">
        <v>0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25">
      <c r="A496" s="539" t="str">
        <f t="shared" si="10"/>
        <v>Intérêts sur prêt</v>
      </c>
      <c r="B496" s="648" t="s">
        <v>251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0.25">
      <c r="A497" s="539" t="str">
        <f t="shared" si="10"/>
        <v>Intérêts sur avance</v>
      </c>
      <c r="B497" s="648" t="s">
        <v>252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0.25">
      <c r="A498" s="539" t="str">
        <f t="shared" si="10"/>
        <v>[...]</v>
      </c>
      <c r="B498" s="649" t="s">
        <v>42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0.25">
      <c r="A499" s="539" t="str">
        <f t="shared" si="10"/>
        <v>Revenus d'intérêts Floor plan</v>
      </c>
      <c r="B499" s="649" t="s">
        <v>2936</v>
      </c>
      <c r="C499" s="964"/>
      <c r="D499" s="844"/>
      <c r="E499" s="919">
        <v>-31080</v>
      </c>
      <c r="F499" s="964"/>
      <c r="G499" s="844"/>
      <c r="H499" s="919">
        <v>-2632.4590163934427</v>
      </c>
      <c r="I499" s="964"/>
      <c r="J499" s="844"/>
      <c r="K499" s="919">
        <v>-2462.622950819672</v>
      </c>
      <c r="L499" s="964"/>
      <c r="M499" s="844"/>
      <c r="N499" s="919">
        <v>-2632.4590163934427</v>
      </c>
      <c r="O499" s="964"/>
      <c r="P499" s="844"/>
      <c r="Q499" s="919">
        <v>-2547.5409836065573</v>
      </c>
      <c r="R499" s="964"/>
      <c r="S499" s="844"/>
      <c r="T499" s="919">
        <v>-2632.4590163934427</v>
      </c>
      <c r="U499" s="964"/>
      <c r="V499" s="844"/>
      <c r="W499" s="919">
        <v>-2547.5409836065573</v>
      </c>
      <c r="X499" s="964"/>
      <c r="Y499" s="844"/>
      <c r="Z499" s="919">
        <v>-2632.4590163934427</v>
      </c>
      <c r="AA499" s="964"/>
      <c r="AB499" s="844"/>
      <c r="AC499" s="919">
        <v>-2632.4590163934427</v>
      </c>
      <c r="AD499" s="964"/>
      <c r="AE499" s="844"/>
      <c r="AF499" s="919">
        <v>-2547.5409836065573</v>
      </c>
      <c r="AG499" s="964"/>
      <c r="AH499" s="844"/>
      <c r="AI499" s="919">
        <v>-2632.4590163934427</v>
      </c>
      <c r="AJ499" s="964"/>
      <c r="AK499" s="844"/>
      <c r="AL499" s="919">
        <v>-2547.5409836065573</v>
      </c>
      <c r="AM499" s="964"/>
      <c r="AN499" s="844"/>
      <c r="AO499" s="919">
        <v>-2632.4590163934427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" thickBot="1">
      <c r="A500" s="539" t="str">
        <f t="shared" si="10"/>
        <v>[...]</v>
      </c>
      <c r="B500" s="650" t="s">
        <v>42</v>
      </c>
      <c r="C500" s="964"/>
      <c r="D500" s="844"/>
      <c r="E500" s="919"/>
      <c r="F500" s="964"/>
      <c r="G500" s="844"/>
      <c r="H500" s="919"/>
      <c r="I500" s="964"/>
      <c r="J500" s="844"/>
      <c r="K500" s="919"/>
      <c r="L500" s="964"/>
      <c r="M500" s="844"/>
      <c r="N500" s="919"/>
      <c r="O500" s="964"/>
      <c r="P500" s="844"/>
      <c r="Q500" s="919"/>
      <c r="R500" s="964"/>
      <c r="S500" s="844"/>
      <c r="T500" s="919"/>
      <c r="U500" s="964"/>
      <c r="V500" s="844"/>
      <c r="W500" s="919"/>
      <c r="X500" s="964"/>
      <c r="Y500" s="844"/>
      <c r="Z500" s="919"/>
      <c r="AA500" s="964"/>
      <c r="AB500" s="844"/>
      <c r="AC500" s="919"/>
      <c r="AD500" s="964"/>
      <c r="AE500" s="844"/>
      <c r="AF500" s="919"/>
      <c r="AG500" s="964"/>
      <c r="AH500" s="844"/>
      <c r="AI500" s="919"/>
      <c r="AJ500" s="964"/>
      <c r="AK500" s="844"/>
      <c r="AL500" s="919"/>
      <c r="AM500" s="964"/>
      <c r="AN500" s="844"/>
      <c r="AO500" s="919"/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9.5" thickTop="1" thickBot="1">
      <c r="B501" s="651" t="s">
        <v>253</v>
      </c>
      <c r="C501" s="965" t="s">
        <v>247</v>
      </c>
      <c r="D501" s="966">
        <v>1.1783382396465801E-2</v>
      </c>
      <c r="E501" s="967">
        <v>560791.5285463084</v>
      </c>
      <c r="F501" s="965" t="s">
        <v>247</v>
      </c>
      <c r="G501" s="966">
        <v>-3.6670086338663407E-2</v>
      </c>
      <c r="H501" s="967">
        <v>-97695.655488327902</v>
      </c>
      <c r="I501" s="965" t="s">
        <v>247</v>
      </c>
      <c r="J501" s="966">
        <v>-3.414804068037533E-2</v>
      </c>
      <c r="K501" s="967">
        <v>-88512.802147293172</v>
      </c>
      <c r="L501" s="965" t="s">
        <v>247</v>
      </c>
      <c r="M501" s="966">
        <v>1.0346871659475492E-2</v>
      </c>
      <c r="N501" s="967">
        <v>43005.450317411545</v>
      </c>
      <c r="O501" s="965" t="s">
        <v>247</v>
      </c>
      <c r="P501" s="966">
        <v>2.7457075863917213E-2</v>
      </c>
      <c r="Q501" s="967">
        <v>151000.86532387283</v>
      </c>
      <c r="R501" s="965" t="s">
        <v>247</v>
      </c>
      <c r="S501" s="966">
        <v>4.0147394287204395E-2</v>
      </c>
      <c r="T501" s="967">
        <v>228822.11209257881</v>
      </c>
      <c r="U501" s="965" t="s">
        <v>247</v>
      </c>
      <c r="V501" s="966">
        <v>1.4886940610207237E-2</v>
      </c>
      <c r="W501" s="967">
        <v>59350.145575067079</v>
      </c>
      <c r="X501" s="965" t="s">
        <v>247</v>
      </c>
      <c r="Y501" s="966">
        <v>3.2972993252399331E-3</v>
      </c>
      <c r="Z501" s="967">
        <v>11935.257989196509</v>
      </c>
      <c r="AA501" s="965" t="s">
        <v>247</v>
      </c>
      <c r="AB501" s="966">
        <v>1.177213229150844E-2</v>
      </c>
      <c r="AC501" s="967">
        <v>49825.641763844476</v>
      </c>
      <c r="AD501" s="965" t="s">
        <v>247</v>
      </c>
      <c r="AE501" s="966">
        <v>1.695947223531143E-2</v>
      </c>
      <c r="AF501" s="967">
        <v>71310.41455121951</v>
      </c>
      <c r="AG501" s="965" t="s">
        <v>247</v>
      </c>
      <c r="AH501" s="966">
        <v>2.0214963220062224E-2</v>
      </c>
      <c r="AI501" s="967">
        <v>84586.033531043606</v>
      </c>
      <c r="AJ501" s="965" t="s">
        <v>247</v>
      </c>
      <c r="AK501" s="966">
        <v>2.8403147943155651E-2</v>
      </c>
      <c r="AL501" s="967">
        <v>109818.95581501084</v>
      </c>
      <c r="AM501" s="965" t="s">
        <v>247</v>
      </c>
      <c r="AN501" s="966">
        <v>-2.1712865393920491E-2</v>
      </c>
      <c r="AO501" s="967">
        <v>-62654.890777315501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5" thickTop="1">
      <c r="B502" s="516"/>
      <c r="C502" s="516"/>
      <c r="D502" s="516"/>
      <c r="E502" s="516"/>
      <c r="F502" s="516"/>
      <c r="G502" s="516"/>
      <c r="H502" s="516"/>
      <c r="I502" s="516"/>
      <c r="J502" s="516"/>
      <c r="K502" s="516"/>
      <c r="L502" s="516"/>
      <c r="M502" s="516"/>
      <c r="N502" s="516"/>
      <c r="O502" s="516"/>
      <c r="P502" s="516"/>
      <c r="Q502" s="516"/>
      <c r="R502" s="516"/>
      <c r="S502" s="516"/>
      <c r="T502" s="516"/>
      <c r="U502" s="516"/>
      <c r="V502" s="516"/>
      <c r="W502" s="516"/>
      <c r="X502" s="516"/>
      <c r="Y502" s="516"/>
      <c r="Z502" s="516"/>
      <c r="AA502" s="516"/>
      <c r="AB502" s="516"/>
      <c r="AC502" s="516"/>
      <c r="AD502" s="516"/>
      <c r="AE502" s="516"/>
      <c r="AF502" s="516"/>
      <c r="AG502" s="516"/>
      <c r="AH502" s="516"/>
      <c r="AI502" s="516"/>
      <c r="AJ502" s="516"/>
      <c r="AK502" s="516"/>
      <c r="AL502" s="516"/>
      <c r="AM502" s="516"/>
      <c r="AN502" s="516"/>
      <c r="AO502" s="516"/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75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75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75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75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75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75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75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75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75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75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75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75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75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75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75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75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75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75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75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75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75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75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75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75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75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75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8.75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75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75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75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75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75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75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75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75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75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75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75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75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75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75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75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75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75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75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75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75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75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75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75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75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75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75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75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75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75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75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75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75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75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75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75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75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75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75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75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75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75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75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75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75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75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75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75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75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75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75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75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75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75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75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75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75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75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75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75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75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75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75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75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75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75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75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75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75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75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75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75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75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75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75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75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75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75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75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75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75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75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75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75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75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75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75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75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75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75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75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75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75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75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75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75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75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75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75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75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75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75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75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75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75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75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75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75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75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75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75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75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75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75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75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75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75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75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75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75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8.75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75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75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75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75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75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75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75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75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75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75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75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75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75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75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75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75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75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75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75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75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75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75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75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75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75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75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75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75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75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75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75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75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75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75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75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75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75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75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75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75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75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75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75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75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75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75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75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75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75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75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75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75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75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75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75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75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75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75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75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75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8.75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75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75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75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75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75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75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75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75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75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75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75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75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75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75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75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75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75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75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75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75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75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75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75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75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75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75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75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75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75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75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75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75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75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75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75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75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75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75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75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75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75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75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75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75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75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75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75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75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75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75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75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75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75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75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75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75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75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75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75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75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75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75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75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75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75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75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75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75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75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75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75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75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75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75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75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75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75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75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75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75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75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75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75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75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75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75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75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75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75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75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75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75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75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75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75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75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75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75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75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75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75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75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75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75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75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75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75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75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75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75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75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75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75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75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75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75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75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75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75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75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75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75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75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75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75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75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75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75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75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75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75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75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75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75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75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75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75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75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75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75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75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75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75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75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75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75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75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75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75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75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75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75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75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75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75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75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75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75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75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75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75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75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75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75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75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75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75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75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75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75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75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75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75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75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75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75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75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75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75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75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75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75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75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75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75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75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75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75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75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75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75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75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75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75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75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75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75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75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75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75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75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75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75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75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75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75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75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75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75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75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75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75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75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75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75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75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75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75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75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75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75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75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75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75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75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75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75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75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75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75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75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75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75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75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75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75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75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75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75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75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75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75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75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75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75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75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75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75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75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75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75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75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75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75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75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75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75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75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75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75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75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75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75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75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75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75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75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75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75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75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75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75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75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75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75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75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75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75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75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75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75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75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75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75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75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75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75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75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75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75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75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75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75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75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75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75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75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75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75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75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75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75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75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75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75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75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75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75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75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75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75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75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75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75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75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75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75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75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75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75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75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75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75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75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75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75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75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75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75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75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75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75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75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75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75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75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75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75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75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75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75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75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75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75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75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75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75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75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75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75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75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75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75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75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75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75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75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75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75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75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75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75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75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75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75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75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75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75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75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75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75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75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75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75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75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75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75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75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75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75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75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75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75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75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75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75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75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75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75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75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75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75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75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75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75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75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75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75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75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75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75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75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75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75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75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75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75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75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75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75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75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75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75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75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75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75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75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75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75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75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sheetPr codeName="Feuil4"/>
  <dimension ref="A1:HK1132"/>
  <sheetViews>
    <sheetView zoomScale="55" zoomScaleNormal="55" zoomScaleSheetLayoutView="55" workbookViewId="0">
      <pane xSplit="2" ySplit="1" topLeftCell="AA476" activePane="bottomRight" state="frozen"/>
      <selection sqref="A1:XFD1048576"/>
      <selection pane="topRight" sqref="A1:XFD1048576"/>
      <selection pane="bottomLeft" sqref="A1:XFD1048576"/>
      <selection pane="bottomRight" activeCell="AW513" sqref="AW513"/>
    </sheetView>
  </sheetViews>
  <sheetFormatPr baseColWidth="10" defaultColWidth="11" defaultRowHeight="15"/>
  <cols>
    <col min="1" max="1" width="56.25" style="536" customWidth="1"/>
    <col min="2" max="2" width="34.625" style="506" customWidth="1"/>
    <col min="3" max="3" width="16.75" style="506" customWidth="1"/>
    <col min="4" max="4" width="17.125" style="506" bestFit="1" customWidth="1"/>
    <col min="5" max="5" width="17.375" style="506" bestFit="1" customWidth="1"/>
    <col min="6" max="6" width="16.75" style="506" customWidth="1"/>
    <col min="7" max="7" width="14.5" style="506" customWidth="1"/>
    <col min="8" max="8" width="15.875" style="506" customWidth="1"/>
    <col min="9" max="9" width="16.75" style="506" customWidth="1"/>
    <col min="10" max="10" width="14.5" style="506" customWidth="1"/>
    <col min="11" max="11" width="15.875" style="506" customWidth="1"/>
    <col min="12" max="12" width="16.75" style="506" customWidth="1"/>
    <col min="13" max="13" width="14.5" style="506" customWidth="1"/>
    <col min="14" max="14" width="15.875" style="506" customWidth="1"/>
    <col min="15" max="15" width="16.75" style="506" customWidth="1"/>
    <col min="16" max="16" width="14.5" style="506" customWidth="1"/>
    <col min="17" max="17" width="15.875" style="506" customWidth="1"/>
    <col min="18" max="18" width="16.75" style="506" customWidth="1"/>
    <col min="19" max="19" width="14.5" style="506" customWidth="1"/>
    <col min="20" max="20" width="15.875" style="506" customWidth="1"/>
    <col min="21" max="21" width="16.75" style="506" customWidth="1"/>
    <col min="22" max="22" width="14.5" style="506" customWidth="1"/>
    <col min="23" max="23" width="15.875" style="506" customWidth="1"/>
    <col min="24" max="24" width="16.75" style="506" customWidth="1"/>
    <col min="25" max="25" width="14.5" style="506" customWidth="1"/>
    <col min="26" max="26" width="15.875" style="506" customWidth="1"/>
    <col min="27" max="27" width="16.75" style="506" customWidth="1"/>
    <col min="28" max="28" width="14.5" style="506" customWidth="1"/>
    <col min="29" max="29" width="15.875" style="506" customWidth="1"/>
    <col min="30" max="30" width="16.75" style="506" customWidth="1"/>
    <col min="31" max="31" width="14.5" style="506" customWidth="1"/>
    <col min="32" max="32" width="15.875" style="506" customWidth="1"/>
    <col min="33" max="33" width="16.75" style="506" customWidth="1"/>
    <col min="34" max="34" width="14.5" style="506" customWidth="1"/>
    <col min="35" max="35" width="15.875" style="506" customWidth="1"/>
    <col min="36" max="36" width="16.75" style="506" customWidth="1"/>
    <col min="37" max="37" width="14.5" style="506" customWidth="1"/>
    <col min="38" max="38" width="15.875" style="506" customWidth="1"/>
    <col min="39" max="39" width="16.75" style="506" customWidth="1"/>
    <col min="40" max="40" width="14.5" style="506" customWidth="1"/>
    <col min="41" max="41" width="15.875" style="506" customWidth="1"/>
    <col min="42" max="228" width="11" style="506"/>
    <col min="229" max="229" width="32.75" style="506" customWidth="1"/>
    <col min="230" max="230" width="14.5" style="506" customWidth="1"/>
    <col min="231" max="231" width="15.625" style="506" bestFit="1" customWidth="1"/>
    <col min="232" max="232" width="15.5" style="506" customWidth="1"/>
    <col min="233" max="233" width="15.625" style="506" customWidth="1"/>
    <col min="234" max="234" width="15.625" style="506" bestFit="1" customWidth="1"/>
    <col min="235" max="235" width="15.875" style="506" customWidth="1"/>
    <col min="236" max="236" width="14.875" style="506" customWidth="1"/>
    <col min="237" max="237" width="14.5" style="506" customWidth="1"/>
    <col min="238" max="238" width="15.875" style="506" customWidth="1"/>
    <col min="239" max="239" width="12" style="506" bestFit="1" customWidth="1"/>
    <col min="240" max="240" width="18.625" style="506" customWidth="1"/>
    <col min="241" max="241" width="15.125" style="506" customWidth="1"/>
    <col min="242" max="242" width="15.625" style="506" bestFit="1" customWidth="1"/>
    <col min="243" max="243" width="16.375" style="506" customWidth="1"/>
    <col min="244" max="244" width="13.875" style="506" customWidth="1"/>
    <col min="245" max="245" width="18.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75" style="506" customWidth="1"/>
    <col min="250" max="250" width="10.875" style="506" customWidth="1"/>
    <col min="251" max="251" width="10" style="506" customWidth="1"/>
    <col min="252" max="252" width="17.375" style="506" customWidth="1"/>
    <col min="253" max="253" width="10.875" style="506" customWidth="1"/>
    <col min="254" max="254" width="10" style="506" customWidth="1"/>
    <col min="255" max="255" width="16.125" style="506" customWidth="1"/>
    <col min="256" max="256" width="10.875" style="506" customWidth="1"/>
    <col min="257" max="257" width="12" style="506" customWidth="1"/>
    <col min="258" max="258" width="18.875" style="506" customWidth="1"/>
    <col min="259" max="259" width="10.875" style="506" customWidth="1"/>
    <col min="260" max="260" width="16.25" style="506" bestFit="1" customWidth="1"/>
    <col min="261" max="261" width="12.375" style="506" bestFit="1" customWidth="1"/>
    <col min="262" max="262" width="10.875" style="506" customWidth="1"/>
    <col min="263" max="263" width="10" style="506" customWidth="1"/>
    <col min="264" max="264" width="17.5" style="506" customWidth="1"/>
    <col min="265" max="265" width="10.875" style="506" customWidth="1"/>
    <col min="266" max="266" width="16" style="506" customWidth="1"/>
    <col min="267" max="267" width="12.375" style="506" bestFit="1" customWidth="1"/>
    <col min="268" max="484" width="11" style="506"/>
    <col min="485" max="485" width="32.75" style="506" customWidth="1"/>
    <col min="486" max="486" width="14.5" style="506" customWidth="1"/>
    <col min="487" max="487" width="15.625" style="506" bestFit="1" customWidth="1"/>
    <col min="488" max="488" width="15.5" style="506" customWidth="1"/>
    <col min="489" max="489" width="15.625" style="506" customWidth="1"/>
    <col min="490" max="490" width="15.625" style="506" bestFit="1" customWidth="1"/>
    <col min="491" max="491" width="15.875" style="506" customWidth="1"/>
    <col min="492" max="492" width="14.875" style="506" customWidth="1"/>
    <col min="493" max="493" width="14.5" style="506" customWidth="1"/>
    <col min="494" max="494" width="15.875" style="506" customWidth="1"/>
    <col min="495" max="495" width="12" style="506" bestFit="1" customWidth="1"/>
    <col min="496" max="496" width="18.625" style="506" customWidth="1"/>
    <col min="497" max="497" width="15.125" style="506" customWidth="1"/>
    <col min="498" max="498" width="15.625" style="506" bestFit="1" customWidth="1"/>
    <col min="499" max="499" width="16.375" style="506" customWidth="1"/>
    <col min="500" max="500" width="13.875" style="506" customWidth="1"/>
    <col min="501" max="501" width="18.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75" style="506" customWidth="1"/>
    <col min="506" max="506" width="10.875" style="506" customWidth="1"/>
    <col min="507" max="507" width="10" style="506" customWidth="1"/>
    <col min="508" max="508" width="17.375" style="506" customWidth="1"/>
    <col min="509" max="509" width="10.875" style="506" customWidth="1"/>
    <col min="510" max="510" width="10" style="506" customWidth="1"/>
    <col min="511" max="511" width="16.125" style="506" customWidth="1"/>
    <col min="512" max="512" width="10.875" style="506" customWidth="1"/>
    <col min="513" max="513" width="12" style="506" customWidth="1"/>
    <col min="514" max="514" width="18.875" style="506" customWidth="1"/>
    <col min="515" max="515" width="10.875" style="506" customWidth="1"/>
    <col min="516" max="516" width="16.25" style="506" bestFit="1" customWidth="1"/>
    <col min="517" max="517" width="12.375" style="506" bestFit="1" customWidth="1"/>
    <col min="518" max="518" width="10.875" style="506" customWidth="1"/>
    <col min="519" max="519" width="10" style="506" customWidth="1"/>
    <col min="520" max="520" width="17.5" style="506" customWidth="1"/>
    <col min="521" max="521" width="10.875" style="506" customWidth="1"/>
    <col min="522" max="522" width="16" style="506" customWidth="1"/>
    <col min="523" max="523" width="12.375" style="506" bestFit="1" customWidth="1"/>
    <col min="524" max="740" width="11" style="506"/>
    <col min="741" max="741" width="32.75" style="506" customWidth="1"/>
    <col min="742" max="742" width="14.5" style="506" customWidth="1"/>
    <col min="743" max="743" width="15.625" style="506" bestFit="1" customWidth="1"/>
    <col min="744" max="744" width="15.5" style="506" customWidth="1"/>
    <col min="745" max="745" width="15.625" style="506" customWidth="1"/>
    <col min="746" max="746" width="15.625" style="506" bestFit="1" customWidth="1"/>
    <col min="747" max="747" width="15.875" style="506" customWidth="1"/>
    <col min="748" max="748" width="14.875" style="506" customWidth="1"/>
    <col min="749" max="749" width="14.5" style="506" customWidth="1"/>
    <col min="750" max="750" width="15.875" style="506" customWidth="1"/>
    <col min="751" max="751" width="12" style="506" bestFit="1" customWidth="1"/>
    <col min="752" max="752" width="18.625" style="506" customWidth="1"/>
    <col min="753" max="753" width="15.125" style="506" customWidth="1"/>
    <col min="754" max="754" width="15.625" style="506" bestFit="1" customWidth="1"/>
    <col min="755" max="755" width="16.375" style="506" customWidth="1"/>
    <col min="756" max="756" width="13.875" style="506" customWidth="1"/>
    <col min="757" max="757" width="18.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75" style="506" customWidth="1"/>
    <col min="762" max="762" width="10.875" style="506" customWidth="1"/>
    <col min="763" max="763" width="10" style="506" customWidth="1"/>
    <col min="764" max="764" width="17.375" style="506" customWidth="1"/>
    <col min="765" max="765" width="10.875" style="506" customWidth="1"/>
    <col min="766" max="766" width="10" style="506" customWidth="1"/>
    <col min="767" max="767" width="16.125" style="506" customWidth="1"/>
    <col min="768" max="768" width="10.875" style="506" customWidth="1"/>
    <col min="769" max="769" width="12" style="506" customWidth="1"/>
    <col min="770" max="770" width="18.875" style="506" customWidth="1"/>
    <col min="771" max="771" width="10.875" style="506" customWidth="1"/>
    <col min="772" max="772" width="16.25" style="506" bestFit="1" customWidth="1"/>
    <col min="773" max="773" width="12.375" style="506" bestFit="1" customWidth="1"/>
    <col min="774" max="774" width="10.875" style="506" customWidth="1"/>
    <col min="775" max="775" width="10" style="506" customWidth="1"/>
    <col min="776" max="776" width="17.5" style="506" customWidth="1"/>
    <col min="777" max="777" width="10.875" style="506" customWidth="1"/>
    <col min="778" max="778" width="16" style="506" customWidth="1"/>
    <col min="779" max="779" width="12.375" style="506" bestFit="1" customWidth="1"/>
    <col min="780" max="996" width="11" style="506"/>
    <col min="997" max="997" width="32.75" style="506" customWidth="1"/>
    <col min="998" max="998" width="14.5" style="506" customWidth="1"/>
    <col min="999" max="999" width="15.625" style="506" bestFit="1" customWidth="1"/>
    <col min="1000" max="1000" width="15.5" style="506" customWidth="1"/>
    <col min="1001" max="1001" width="15.625" style="506" customWidth="1"/>
    <col min="1002" max="1002" width="15.625" style="506" bestFit="1" customWidth="1"/>
    <col min="1003" max="1003" width="15.875" style="506" customWidth="1"/>
    <col min="1004" max="1004" width="14.875" style="506" customWidth="1"/>
    <col min="1005" max="1005" width="14.5" style="506" customWidth="1"/>
    <col min="1006" max="1006" width="15.875" style="506" customWidth="1"/>
    <col min="1007" max="1007" width="12" style="506" bestFit="1" customWidth="1"/>
    <col min="1008" max="1008" width="18.625" style="506" customWidth="1"/>
    <col min="1009" max="1009" width="15.125" style="506" customWidth="1"/>
    <col min="1010" max="1010" width="15.625" style="506" bestFit="1" customWidth="1"/>
    <col min="1011" max="1011" width="16.375" style="506" customWidth="1"/>
    <col min="1012" max="1012" width="13.875" style="506" customWidth="1"/>
    <col min="1013" max="1013" width="18.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75" style="506" customWidth="1"/>
    <col min="1018" max="1018" width="10.875" style="506" customWidth="1"/>
    <col min="1019" max="1019" width="10" style="506" customWidth="1"/>
    <col min="1020" max="1020" width="17.375" style="506" customWidth="1"/>
    <col min="1021" max="1021" width="10.875" style="506" customWidth="1"/>
    <col min="1022" max="1022" width="10" style="506" customWidth="1"/>
    <col min="1023" max="1023" width="16.125" style="506" customWidth="1"/>
    <col min="1024" max="1024" width="10.875" style="506" customWidth="1"/>
    <col min="1025" max="1025" width="12" style="506" customWidth="1"/>
    <col min="1026" max="1026" width="18.875" style="506" customWidth="1"/>
    <col min="1027" max="1027" width="10.875" style="506" customWidth="1"/>
    <col min="1028" max="1028" width="16.25" style="506" bestFit="1" customWidth="1"/>
    <col min="1029" max="1029" width="12.375" style="506" bestFit="1" customWidth="1"/>
    <col min="1030" max="1030" width="10.875" style="506" customWidth="1"/>
    <col min="1031" max="1031" width="10" style="506" customWidth="1"/>
    <col min="1032" max="1032" width="17.5" style="506" customWidth="1"/>
    <col min="1033" max="1033" width="10.875" style="506" customWidth="1"/>
    <col min="1034" max="1034" width="16" style="506" customWidth="1"/>
    <col min="1035" max="1035" width="12.375" style="506" bestFit="1" customWidth="1"/>
    <col min="1036" max="1252" width="11" style="506"/>
    <col min="1253" max="1253" width="32.75" style="506" customWidth="1"/>
    <col min="1254" max="1254" width="14.5" style="506" customWidth="1"/>
    <col min="1255" max="1255" width="15.625" style="506" bestFit="1" customWidth="1"/>
    <col min="1256" max="1256" width="15.5" style="506" customWidth="1"/>
    <col min="1257" max="1257" width="15.625" style="506" customWidth="1"/>
    <col min="1258" max="1258" width="15.625" style="506" bestFit="1" customWidth="1"/>
    <col min="1259" max="1259" width="15.875" style="506" customWidth="1"/>
    <col min="1260" max="1260" width="14.875" style="506" customWidth="1"/>
    <col min="1261" max="1261" width="14.5" style="506" customWidth="1"/>
    <col min="1262" max="1262" width="15.875" style="506" customWidth="1"/>
    <col min="1263" max="1263" width="12" style="506" bestFit="1" customWidth="1"/>
    <col min="1264" max="1264" width="18.625" style="506" customWidth="1"/>
    <col min="1265" max="1265" width="15.125" style="506" customWidth="1"/>
    <col min="1266" max="1266" width="15.625" style="506" bestFit="1" customWidth="1"/>
    <col min="1267" max="1267" width="16.375" style="506" customWidth="1"/>
    <col min="1268" max="1268" width="13.875" style="506" customWidth="1"/>
    <col min="1269" max="1269" width="18.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75" style="506" customWidth="1"/>
    <col min="1274" max="1274" width="10.875" style="506" customWidth="1"/>
    <col min="1275" max="1275" width="10" style="506" customWidth="1"/>
    <col min="1276" max="1276" width="17.375" style="506" customWidth="1"/>
    <col min="1277" max="1277" width="10.875" style="506" customWidth="1"/>
    <col min="1278" max="1278" width="10" style="506" customWidth="1"/>
    <col min="1279" max="1279" width="16.125" style="506" customWidth="1"/>
    <col min="1280" max="1280" width="10.875" style="506" customWidth="1"/>
    <col min="1281" max="1281" width="12" style="506" customWidth="1"/>
    <col min="1282" max="1282" width="18.875" style="506" customWidth="1"/>
    <col min="1283" max="1283" width="10.875" style="506" customWidth="1"/>
    <col min="1284" max="1284" width="16.25" style="506" bestFit="1" customWidth="1"/>
    <col min="1285" max="1285" width="12.375" style="506" bestFit="1" customWidth="1"/>
    <col min="1286" max="1286" width="10.875" style="506" customWidth="1"/>
    <col min="1287" max="1287" width="10" style="506" customWidth="1"/>
    <col min="1288" max="1288" width="17.5" style="506" customWidth="1"/>
    <col min="1289" max="1289" width="10.875" style="506" customWidth="1"/>
    <col min="1290" max="1290" width="16" style="506" customWidth="1"/>
    <col min="1291" max="1291" width="12.375" style="506" bestFit="1" customWidth="1"/>
    <col min="1292" max="1508" width="11" style="506"/>
    <col min="1509" max="1509" width="32.75" style="506" customWidth="1"/>
    <col min="1510" max="1510" width="14.5" style="506" customWidth="1"/>
    <col min="1511" max="1511" width="15.625" style="506" bestFit="1" customWidth="1"/>
    <col min="1512" max="1512" width="15.5" style="506" customWidth="1"/>
    <col min="1513" max="1513" width="15.625" style="506" customWidth="1"/>
    <col min="1514" max="1514" width="15.625" style="506" bestFit="1" customWidth="1"/>
    <col min="1515" max="1515" width="15.875" style="506" customWidth="1"/>
    <col min="1516" max="1516" width="14.875" style="506" customWidth="1"/>
    <col min="1517" max="1517" width="14.5" style="506" customWidth="1"/>
    <col min="1518" max="1518" width="15.875" style="506" customWidth="1"/>
    <col min="1519" max="1519" width="12" style="506" bestFit="1" customWidth="1"/>
    <col min="1520" max="1520" width="18.625" style="506" customWidth="1"/>
    <col min="1521" max="1521" width="15.125" style="506" customWidth="1"/>
    <col min="1522" max="1522" width="15.625" style="506" bestFit="1" customWidth="1"/>
    <col min="1523" max="1523" width="16.375" style="506" customWidth="1"/>
    <col min="1524" max="1524" width="13.875" style="506" customWidth="1"/>
    <col min="1525" max="1525" width="18.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75" style="506" customWidth="1"/>
    <col min="1530" max="1530" width="10.875" style="506" customWidth="1"/>
    <col min="1531" max="1531" width="10" style="506" customWidth="1"/>
    <col min="1532" max="1532" width="17.375" style="506" customWidth="1"/>
    <col min="1533" max="1533" width="10.875" style="506" customWidth="1"/>
    <col min="1534" max="1534" width="10" style="506" customWidth="1"/>
    <col min="1535" max="1535" width="16.125" style="506" customWidth="1"/>
    <col min="1536" max="1536" width="10.875" style="506" customWidth="1"/>
    <col min="1537" max="1537" width="12" style="506" customWidth="1"/>
    <col min="1538" max="1538" width="18.875" style="506" customWidth="1"/>
    <col min="1539" max="1539" width="10.875" style="506" customWidth="1"/>
    <col min="1540" max="1540" width="16.25" style="506" bestFit="1" customWidth="1"/>
    <col min="1541" max="1541" width="12.375" style="506" bestFit="1" customWidth="1"/>
    <col min="1542" max="1542" width="10.875" style="506" customWidth="1"/>
    <col min="1543" max="1543" width="10" style="506" customWidth="1"/>
    <col min="1544" max="1544" width="17.5" style="506" customWidth="1"/>
    <col min="1545" max="1545" width="10.875" style="506" customWidth="1"/>
    <col min="1546" max="1546" width="16" style="506" customWidth="1"/>
    <col min="1547" max="1547" width="12.375" style="506" bestFit="1" customWidth="1"/>
    <col min="1548" max="1764" width="11" style="506"/>
    <col min="1765" max="1765" width="32.75" style="506" customWidth="1"/>
    <col min="1766" max="1766" width="14.5" style="506" customWidth="1"/>
    <col min="1767" max="1767" width="15.625" style="506" bestFit="1" customWidth="1"/>
    <col min="1768" max="1768" width="15.5" style="506" customWidth="1"/>
    <col min="1769" max="1769" width="15.625" style="506" customWidth="1"/>
    <col min="1770" max="1770" width="15.625" style="506" bestFit="1" customWidth="1"/>
    <col min="1771" max="1771" width="15.875" style="506" customWidth="1"/>
    <col min="1772" max="1772" width="14.875" style="506" customWidth="1"/>
    <col min="1773" max="1773" width="14.5" style="506" customWidth="1"/>
    <col min="1774" max="1774" width="15.875" style="506" customWidth="1"/>
    <col min="1775" max="1775" width="12" style="506" bestFit="1" customWidth="1"/>
    <col min="1776" max="1776" width="18.625" style="506" customWidth="1"/>
    <col min="1777" max="1777" width="15.125" style="506" customWidth="1"/>
    <col min="1778" max="1778" width="15.625" style="506" bestFit="1" customWidth="1"/>
    <col min="1779" max="1779" width="16.375" style="506" customWidth="1"/>
    <col min="1780" max="1780" width="13.875" style="506" customWidth="1"/>
    <col min="1781" max="1781" width="18.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75" style="506" customWidth="1"/>
    <col min="1786" max="1786" width="10.875" style="506" customWidth="1"/>
    <col min="1787" max="1787" width="10" style="506" customWidth="1"/>
    <col min="1788" max="1788" width="17.375" style="506" customWidth="1"/>
    <col min="1789" max="1789" width="10.875" style="506" customWidth="1"/>
    <col min="1790" max="1790" width="10" style="506" customWidth="1"/>
    <col min="1791" max="1791" width="16.125" style="506" customWidth="1"/>
    <col min="1792" max="1792" width="10.875" style="506" customWidth="1"/>
    <col min="1793" max="1793" width="12" style="506" customWidth="1"/>
    <col min="1794" max="1794" width="18.875" style="506" customWidth="1"/>
    <col min="1795" max="1795" width="10.875" style="506" customWidth="1"/>
    <col min="1796" max="1796" width="16.25" style="506" bestFit="1" customWidth="1"/>
    <col min="1797" max="1797" width="12.375" style="506" bestFit="1" customWidth="1"/>
    <col min="1798" max="1798" width="10.875" style="506" customWidth="1"/>
    <col min="1799" max="1799" width="10" style="506" customWidth="1"/>
    <col min="1800" max="1800" width="17.5" style="506" customWidth="1"/>
    <col min="1801" max="1801" width="10.875" style="506" customWidth="1"/>
    <col min="1802" max="1802" width="16" style="506" customWidth="1"/>
    <col min="1803" max="1803" width="12.375" style="506" bestFit="1" customWidth="1"/>
    <col min="1804" max="2020" width="11" style="506"/>
    <col min="2021" max="2021" width="32.75" style="506" customWidth="1"/>
    <col min="2022" max="2022" width="14.5" style="506" customWidth="1"/>
    <col min="2023" max="2023" width="15.625" style="506" bestFit="1" customWidth="1"/>
    <col min="2024" max="2024" width="15.5" style="506" customWidth="1"/>
    <col min="2025" max="2025" width="15.625" style="506" customWidth="1"/>
    <col min="2026" max="2026" width="15.625" style="506" bestFit="1" customWidth="1"/>
    <col min="2027" max="2027" width="15.875" style="506" customWidth="1"/>
    <col min="2028" max="2028" width="14.875" style="506" customWidth="1"/>
    <col min="2029" max="2029" width="14.5" style="506" customWidth="1"/>
    <col min="2030" max="2030" width="15.875" style="506" customWidth="1"/>
    <col min="2031" max="2031" width="12" style="506" bestFit="1" customWidth="1"/>
    <col min="2032" max="2032" width="18.625" style="506" customWidth="1"/>
    <col min="2033" max="2033" width="15.125" style="506" customWidth="1"/>
    <col min="2034" max="2034" width="15.625" style="506" bestFit="1" customWidth="1"/>
    <col min="2035" max="2035" width="16.375" style="506" customWidth="1"/>
    <col min="2036" max="2036" width="13.875" style="506" customWidth="1"/>
    <col min="2037" max="2037" width="18.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75" style="506" customWidth="1"/>
    <col min="2042" max="2042" width="10.875" style="506" customWidth="1"/>
    <col min="2043" max="2043" width="10" style="506" customWidth="1"/>
    <col min="2044" max="2044" width="17.375" style="506" customWidth="1"/>
    <col min="2045" max="2045" width="10.875" style="506" customWidth="1"/>
    <col min="2046" max="2046" width="10" style="506" customWidth="1"/>
    <col min="2047" max="2047" width="16.125" style="506" customWidth="1"/>
    <col min="2048" max="2048" width="10.875" style="506" customWidth="1"/>
    <col min="2049" max="2049" width="12" style="506" customWidth="1"/>
    <col min="2050" max="2050" width="18.875" style="506" customWidth="1"/>
    <col min="2051" max="2051" width="10.875" style="506" customWidth="1"/>
    <col min="2052" max="2052" width="16.25" style="506" bestFit="1" customWidth="1"/>
    <col min="2053" max="2053" width="12.375" style="506" bestFit="1" customWidth="1"/>
    <col min="2054" max="2054" width="10.875" style="506" customWidth="1"/>
    <col min="2055" max="2055" width="10" style="506" customWidth="1"/>
    <col min="2056" max="2056" width="17.5" style="506" customWidth="1"/>
    <col min="2057" max="2057" width="10.875" style="506" customWidth="1"/>
    <col min="2058" max="2058" width="16" style="506" customWidth="1"/>
    <col min="2059" max="2059" width="12.375" style="506" bestFit="1" customWidth="1"/>
    <col min="2060" max="2276" width="11" style="506"/>
    <col min="2277" max="2277" width="32.75" style="506" customWidth="1"/>
    <col min="2278" max="2278" width="14.5" style="506" customWidth="1"/>
    <col min="2279" max="2279" width="15.625" style="506" bestFit="1" customWidth="1"/>
    <col min="2280" max="2280" width="15.5" style="506" customWidth="1"/>
    <col min="2281" max="2281" width="15.625" style="506" customWidth="1"/>
    <col min="2282" max="2282" width="15.625" style="506" bestFit="1" customWidth="1"/>
    <col min="2283" max="2283" width="15.875" style="506" customWidth="1"/>
    <col min="2284" max="2284" width="14.875" style="506" customWidth="1"/>
    <col min="2285" max="2285" width="14.5" style="506" customWidth="1"/>
    <col min="2286" max="2286" width="15.875" style="506" customWidth="1"/>
    <col min="2287" max="2287" width="12" style="506" bestFit="1" customWidth="1"/>
    <col min="2288" max="2288" width="18.625" style="506" customWidth="1"/>
    <col min="2289" max="2289" width="15.125" style="506" customWidth="1"/>
    <col min="2290" max="2290" width="15.625" style="506" bestFit="1" customWidth="1"/>
    <col min="2291" max="2291" width="16.375" style="506" customWidth="1"/>
    <col min="2292" max="2292" width="13.875" style="506" customWidth="1"/>
    <col min="2293" max="2293" width="18.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75" style="506" customWidth="1"/>
    <col min="2298" max="2298" width="10.875" style="506" customWidth="1"/>
    <col min="2299" max="2299" width="10" style="506" customWidth="1"/>
    <col min="2300" max="2300" width="17.375" style="506" customWidth="1"/>
    <col min="2301" max="2301" width="10.875" style="506" customWidth="1"/>
    <col min="2302" max="2302" width="10" style="506" customWidth="1"/>
    <col min="2303" max="2303" width="16.125" style="506" customWidth="1"/>
    <col min="2304" max="2304" width="10.875" style="506" customWidth="1"/>
    <col min="2305" max="2305" width="12" style="506" customWidth="1"/>
    <col min="2306" max="2306" width="18.875" style="506" customWidth="1"/>
    <col min="2307" max="2307" width="10.875" style="506" customWidth="1"/>
    <col min="2308" max="2308" width="16.25" style="506" bestFit="1" customWidth="1"/>
    <col min="2309" max="2309" width="12.375" style="506" bestFit="1" customWidth="1"/>
    <col min="2310" max="2310" width="10.875" style="506" customWidth="1"/>
    <col min="2311" max="2311" width="10" style="506" customWidth="1"/>
    <col min="2312" max="2312" width="17.5" style="506" customWidth="1"/>
    <col min="2313" max="2313" width="10.875" style="506" customWidth="1"/>
    <col min="2314" max="2314" width="16" style="506" customWidth="1"/>
    <col min="2315" max="2315" width="12.375" style="506" bestFit="1" customWidth="1"/>
    <col min="2316" max="2532" width="11" style="506"/>
    <col min="2533" max="2533" width="32.75" style="506" customWidth="1"/>
    <col min="2534" max="2534" width="14.5" style="506" customWidth="1"/>
    <col min="2535" max="2535" width="15.625" style="506" bestFit="1" customWidth="1"/>
    <col min="2536" max="2536" width="15.5" style="506" customWidth="1"/>
    <col min="2537" max="2537" width="15.625" style="506" customWidth="1"/>
    <col min="2538" max="2538" width="15.625" style="506" bestFit="1" customWidth="1"/>
    <col min="2539" max="2539" width="15.875" style="506" customWidth="1"/>
    <col min="2540" max="2540" width="14.875" style="506" customWidth="1"/>
    <col min="2541" max="2541" width="14.5" style="506" customWidth="1"/>
    <col min="2542" max="2542" width="15.875" style="506" customWidth="1"/>
    <col min="2543" max="2543" width="12" style="506" bestFit="1" customWidth="1"/>
    <col min="2544" max="2544" width="18.625" style="506" customWidth="1"/>
    <col min="2545" max="2545" width="15.125" style="506" customWidth="1"/>
    <col min="2546" max="2546" width="15.625" style="506" bestFit="1" customWidth="1"/>
    <col min="2547" max="2547" width="16.375" style="506" customWidth="1"/>
    <col min="2548" max="2548" width="13.875" style="506" customWidth="1"/>
    <col min="2549" max="2549" width="18.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75" style="506" customWidth="1"/>
    <col min="2554" max="2554" width="10.875" style="506" customWidth="1"/>
    <col min="2555" max="2555" width="10" style="506" customWidth="1"/>
    <col min="2556" max="2556" width="17.375" style="506" customWidth="1"/>
    <col min="2557" max="2557" width="10.875" style="506" customWidth="1"/>
    <col min="2558" max="2558" width="10" style="506" customWidth="1"/>
    <col min="2559" max="2559" width="16.125" style="506" customWidth="1"/>
    <col min="2560" max="2560" width="10.875" style="506" customWidth="1"/>
    <col min="2561" max="2561" width="12" style="506" customWidth="1"/>
    <col min="2562" max="2562" width="18.875" style="506" customWidth="1"/>
    <col min="2563" max="2563" width="10.875" style="506" customWidth="1"/>
    <col min="2564" max="2564" width="16.25" style="506" bestFit="1" customWidth="1"/>
    <col min="2565" max="2565" width="12.375" style="506" bestFit="1" customWidth="1"/>
    <col min="2566" max="2566" width="10.875" style="506" customWidth="1"/>
    <col min="2567" max="2567" width="10" style="506" customWidth="1"/>
    <col min="2568" max="2568" width="17.5" style="506" customWidth="1"/>
    <col min="2569" max="2569" width="10.875" style="506" customWidth="1"/>
    <col min="2570" max="2570" width="16" style="506" customWidth="1"/>
    <col min="2571" max="2571" width="12.375" style="506" bestFit="1" customWidth="1"/>
    <col min="2572" max="2788" width="11" style="506"/>
    <col min="2789" max="2789" width="32.75" style="506" customWidth="1"/>
    <col min="2790" max="2790" width="14.5" style="506" customWidth="1"/>
    <col min="2791" max="2791" width="15.625" style="506" bestFit="1" customWidth="1"/>
    <col min="2792" max="2792" width="15.5" style="506" customWidth="1"/>
    <col min="2793" max="2793" width="15.625" style="506" customWidth="1"/>
    <col min="2794" max="2794" width="15.625" style="506" bestFit="1" customWidth="1"/>
    <col min="2795" max="2795" width="15.875" style="506" customWidth="1"/>
    <col min="2796" max="2796" width="14.875" style="506" customWidth="1"/>
    <col min="2797" max="2797" width="14.5" style="506" customWidth="1"/>
    <col min="2798" max="2798" width="15.875" style="506" customWidth="1"/>
    <col min="2799" max="2799" width="12" style="506" bestFit="1" customWidth="1"/>
    <col min="2800" max="2800" width="18.625" style="506" customWidth="1"/>
    <col min="2801" max="2801" width="15.125" style="506" customWidth="1"/>
    <col min="2802" max="2802" width="15.625" style="506" bestFit="1" customWidth="1"/>
    <col min="2803" max="2803" width="16.375" style="506" customWidth="1"/>
    <col min="2804" max="2804" width="13.875" style="506" customWidth="1"/>
    <col min="2805" max="2805" width="18.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75" style="506" customWidth="1"/>
    <col min="2810" max="2810" width="10.875" style="506" customWidth="1"/>
    <col min="2811" max="2811" width="10" style="506" customWidth="1"/>
    <col min="2812" max="2812" width="17.375" style="506" customWidth="1"/>
    <col min="2813" max="2813" width="10.875" style="506" customWidth="1"/>
    <col min="2814" max="2814" width="10" style="506" customWidth="1"/>
    <col min="2815" max="2815" width="16.125" style="506" customWidth="1"/>
    <col min="2816" max="2816" width="10.875" style="506" customWidth="1"/>
    <col min="2817" max="2817" width="12" style="506" customWidth="1"/>
    <col min="2818" max="2818" width="18.875" style="506" customWidth="1"/>
    <col min="2819" max="2819" width="10.875" style="506" customWidth="1"/>
    <col min="2820" max="2820" width="16.25" style="506" bestFit="1" customWidth="1"/>
    <col min="2821" max="2821" width="12.375" style="506" bestFit="1" customWidth="1"/>
    <col min="2822" max="2822" width="10.875" style="506" customWidth="1"/>
    <col min="2823" max="2823" width="10" style="506" customWidth="1"/>
    <col min="2824" max="2824" width="17.5" style="506" customWidth="1"/>
    <col min="2825" max="2825" width="10.875" style="506" customWidth="1"/>
    <col min="2826" max="2826" width="16" style="506" customWidth="1"/>
    <col min="2827" max="2827" width="12.375" style="506" bestFit="1" customWidth="1"/>
    <col min="2828" max="3044" width="11" style="506"/>
    <col min="3045" max="3045" width="32.75" style="506" customWidth="1"/>
    <col min="3046" max="3046" width="14.5" style="506" customWidth="1"/>
    <col min="3047" max="3047" width="15.625" style="506" bestFit="1" customWidth="1"/>
    <col min="3048" max="3048" width="15.5" style="506" customWidth="1"/>
    <col min="3049" max="3049" width="15.625" style="506" customWidth="1"/>
    <col min="3050" max="3050" width="15.625" style="506" bestFit="1" customWidth="1"/>
    <col min="3051" max="3051" width="15.875" style="506" customWidth="1"/>
    <col min="3052" max="3052" width="14.875" style="506" customWidth="1"/>
    <col min="3053" max="3053" width="14.5" style="506" customWidth="1"/>
    <col min="3054" max="3054" width="15.875" style="506" customWidth="1"/>
    <col min="3055" max="3055" width="12" style="506" bestFit="1" customWidth="1"/>
    <col min="3056" max="3056" width="18.625" style="506" customWidth="1"/>
    <col min="3057" max="3057" width="15.125" style="506" customWidth="1"/>
    <col min="3058" max="3058" width="15.625" style="506" bestFit="1" customWidth="1"/>
    <col min="3059" max="3059" width="16.375" style="506" customWidth="1"/>
    <col min="3060" max="3060" width="13.875" style="506" customWidth="1"/>
    <col min="3061" max="3061" width="18.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75" style="506" customWidth="1"/>
    <col min="3066" max="3066" width="10.875" style="506" customWidth="1"/>
    <col min="3067" max="3067" width="10" style="506" customWidth="1"/>
    <col min="3068" max="3068" width="17.375" style="506" customWidth="1"/>
    <col min="3069" max="3069" width="10.875" style="506" customWidth="1"/>
    <col min="3070" max="3070" width="10" style="506" customWidth="1"/>
    <col min="3071" max="3071" width="16.125" style="506" customWidth="1"/>
    <col min="3072" max="3072" width="10.875" style="506" customWidth="1"/>
    <col min="3073" max="3073" width="12" style="506" customWidth="1"/>
    <col min="3074" max="3074" width="18.875" style="506" customWidth="1"/>
    <col min="3075" max="3075" width="10.875" style="506" customWidth="1"/>
    <col min="3076" max="3076" width="16.25" style="506" bestFit="1" customWidth="1"/>
    <col min="3077" max="3077" width="12.375" style="506" bestFit="1" customWidth="1"/>
    <col min="3078" max="3078" width="10.875" style="506" customWidth="1"/>
    <col min="3079" max="3079" width="10" style="506" customWidth="1"/>
    <col min="3080" max="3080" width="17.5" style="506" customWidth="1"/>
    <col min="3081" max="3081" width="10.875" style="506" customWidth="1"/>
    <col min="3082" max="3082" width="16" style="506" customWidth="1"/>
    <col min="3083" max="3083" width="12.375" style="506" bestFit="1" customWidth="1"/>
    <col min="3084" max="3300" width="11" style="506"/>
    <col min="3301" max="3301" width="32.75" style="506" customWidth="1"/>
    <col min="3302" max="3302" width="14.5" style="506" customWidth="1"/>
    <col min="3303" max="3303" width="15.625" style="506" bestFit="1" customWidth="1"/>
    <col min="3304" max="3304" width="15.5" style="506" customWidth="1"/>
    <col min="3305" max="3305" width="15.625" style="506" customWidth="1"/>
    <col min="3306" max="3306" width="15.625" style="506" bestFit="1" customWidth="1"/>
    <col min="3307" max="3307" width="15.875" style="506" customWidth="1"/>
    <col min="3308" max="3308" width="14.875" style="506" customWidth="1"/>
    <col min="3309" max="3309" width="14.5" style="506" customWidth="1"/>
    <col min="3310" max="3310" width="15.875" style="506" customWidth="1"/>
    <col min="3311" max="3311" width="12" style="506" bestFit="1" customWidth="1"/>
    <col min="3312" max="3312" width="18.625" style="506" customWidth="1"/>
    <col min="3313" max="3313" width="15.125" style="506" customWidth="1"/>
    <col min="3314" max="3314" width="15.625" style="506" bestFit="1" customWidth="1"/>
    <col min="3315" max="3315" width="16.375" style="506" customWidth="1"/>
    <col min="3316" max="3316" width="13.875" style="506" customWidth="1"/>
    <col min="3317" max="3317" width="18.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75" style="506" customWidth="1"/>
    <col min="3322" max="3322" width="10.875" style="506" customWidth="1"/>
    <col min="3323" max="3323" width="10" style="506" customWidth="1"/>
    <col min="3324" max="3324" width="17.375" style="506" customWidth="1"/>
    <col min="3325" max="3325" width="10.875" style="506" customWidth="1"/>
    <col min="3326" max="3326" width="10" style="506" customWidth="1"/>
    <col min="3327" max="3327" width="16.125" style="506" customWidth="1"/>
    <col min="3328" max="3328" width="10.875" style="506" customWidth="1"/>
    <col min="3329" max="3329" width="12" style="506" customWidth="1"/>
    <col min="3330" max="3330" width="18.875" style="506" customWidth="1"/>
    <col min="3331" max="3331" width="10.875" style="506" customWidth="1"/>
    <col min="3332" max="3332" width="16.25" style="506" bestFit="1" customWidth="1"/>
    <col min="3333" max="3333" width="12.375" style="506" bestFit="1" customWidth="1"/>
    <col min="3334" max="3334" width="10.875" style="506" customWidth="1"/>
    <col min="3335" max="3335" width="10" style="506" customWidth="1"/>
    <col min="3336" max="3336" width="17.5" style="506" customWidth="1"/>
    <col min="3337" max="3337" width="10.875" style="506" customWidth="1"/>
    <col min="3338" max="3338" width="16" style="506" customWidth="1"/>
    <col min="3339" max="3339" width="12.375" style="506" bestFit="1" customWidth="1"/>
    <col min="3340" max="3556" width="11" style="506"/>
    <col min="3557" max="3557" width="32.75" style="506" customWidth="1"/>
    <col min="3558" max="3558" width="14.5" style="506" customWidth="1"/>
    <col min="3559" max="3559" width="15.625" style="506" bestFit="1" customWidth="1"/>
    <col min="3560" max="3560" width="15.5" style="506" customWidth="1"/>
    <col min="3561" max="3561" width="15.625" style="506" customWidth="1"/>
    <col min="3562" max="3562" width="15.625" style="506" bestFit="1" customWidth="1"/>
    <col min="3563" max="3563" width="15.875" style="506" customWidth="1"/>
    <col min="3564" max="3564" width="14.875" style="506" customWidth="1"/>
    <col min="3565" max="3565" width="14.5" style="506" customWidth="1"/>
    <col min="3566" max="3566" width="15.875" style="506" customWidth="1"/>
    <col min="3567" max="3567" width="12" style="506" bestFit="1" customWidth="1"/>
    <col min="3568" max="3568" width="18.625" style="506" customWidth="1"/>
    <col min="3569" max="3569" width="15.125" style="506" customWidth="1"/>
    <col min="3570" max="3570" width="15.625" style="506" bestFit="1" customWidth="1"/>
    <col min="3571" max="3571" width="16.375" style="506" customWidth="1"/>
    <col min="3572" max="3572" width="13.875" style="506" customWidth="1"/>
    <col min="3573" max="3573" width="18.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75" style="506" customWidth="1"/>
    <col min="3578" max="3578" width="10.875" style="506" customWidth="1"/>
    <col min="3579" max="3579" width="10" style="506" customWidth="1"/>
    <col min="3580" max="3580" width="17.375" style="506" customWidth="1"/>
    <col min="3581" max="3581" width="10.875" style="506" customWidth="1"/>
    <col min="3582" max="3582" width="10" style="506" customWidth="1"/>
    <col min="3583" max="3583" width="16.125" style="506" customWidth="1"/>
    <col min="3584" max="3584" width="10.875" style="506" customWidth="1"/>
    <col min="3585" max="3585" width="12" style="506" customWidth="1"/>
    <col min="3586" max="3586" width="18.875" style="506" customWidth="1"/>
    <col min="3587" max="3587" width="10.875" style="506" customWidth="1"/>
    <col min="3588" max="3588" width="16.25" style="506" bestFit="1" customWidth="1"/>
    <col min="3589" max="3589" width="12.375" style="506" bestFit="1" customWidth="1"/>
    <col min="3590" max="3590" width="10.875" style="506" customWidth="1"/>
    <col min="3591" max="3591" width="10" style="506" customWidth="1"/>
    <col min="3592" max="3592" width="17.5" style="506" customWidth="1"/>
    <col min="3593" max="3593" width="10.875" style="506" customWidth="1"/>
    <col min="3594" max="3594" width="16" style="506" customWidth="1"/>
    <col min="3595" max="3595" width="12.375" style="506" bestFit="1" customWidth="1"/>
    <col min="3596" max="3812" width="11" style="506"/>
    <col min="3813" max="3813" width="32.75" style="506" customWidth="1"/>
    <col min="3814" max="3814" width="14.5" style="506" customWidth="1"/>
    <col min="3815" max="3815" width="15.625" style="506" bestFit="1" customWidth="1"/>
    <col min="3816" max="3816" width="15.5" style="506" customWidth="1"/>
    <col min="3817" max="3817" width="15.625" style="506" customWidth="1"/>
    <col min="3818" max="3818" width="15.625" style="506" bestFit="1" customWidth="1"/>
    <col min="3819" max="3819" width="15.875" style="506" customWidth="1"/>
    <col min="3820" max="3820" width="14.875" style="506" customWidth="1"/>
    <col min="3821" max="3821" width="14.5" style="506" customWidth="1"/>
    <col min="3822" max="3822" width="15.875" style="506" customWidth="1"/>
    <col min="3823" max="3823" width="12" style="506" bestFit="1" customWidth="1"/>
    <col min="3824" max="3824" width="18.625" style="506" customWidth="1"/>
    <col min="3825" max="3825" width="15.125" style="506" customWidth="1"/>
    <col min="3826" max="3826" width="15.625" style="506" bestFit="1" customWidth="1"/>
    <col min="3827" max="3827" width="16.375" style="506" customWidth="1"/>
    <col min="3828" max="3828" width="13.875" style="506" customWidth="1"/>
    <col min="3829" max="3829" width="18.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75" style="506" customWidth="1"/>
    <col min="3834" max="3834" width="10.875" style="506" customWidth="1"/>
    <col min="3835" max="3835" width="10" style="506" customWidth="1"/>
    <col min="3836" max="3836" width="17.375" style="506" customWidth="1"/>
    <col min="3837" max="3837" width="10.875" style="506" customWidth="1"/>
    <col min="3838" max="3838" width="10" style="506" customWidth="1"/>
    <col min="3839" max="3839" width="16.125" style="506" customWidth="1"/>
    <col min="3840" max="3840" width="10.875" style="506" customWidth="1"/>
    <col min="3841" max="3841" width="12" style="506" customWidth="1"/>
    <col min="3842" max="3842" width="18.875" style="506" customWidth="1"/>
    <col min="3843" max="3843" width="10.875" style="506" customWidth="1"/>
    <col min="3844" max="3844" width="16.25" style="506" bestFit="1" customWidth="1"/>
    <col min="3845" max="3845" width="12.375" style="506" bestFit="1" customWidth="1"/>
    <col min="3846" max="3846" width="10.875" style="506" customWidth="1"/>
    <col min="3847" max="3847" width="10" style="506" customWidth="1"/>
    <col min="3848" max="3848" width="17.5" style="506" customWidth="1"/>
    <col min="3849" max="3849" width="10.875" style="506" customWidth="1"/>
    <col min="3850" max="3850" width="16" style="506" customWidth="1"/>
    <col min="3851" max="3851" width="12.375" style="506" bestFit="1" customWidth="1"/>
    <col min="3852" max="4068" width="11" style="506"/>
    <col min="4069" max="4069" width="32.75" style="506" customWidth="1"/>
    <col min="4070" max="4070" width="14.5" style="506" customWidth="1"/>
    <col min="4071" max="4071" width="15.625" style="506" bestFit="1" customWidth="1"/>
    <col min="4072" max="4072" width="15.5" style="506" customWidth="1"/>
    <col min="4073" max="4073" width="15.625" style="506" customWidth="1"/>
    <col min="4074" max="4074" width="15.625" style="506" bestFit="1" customWidth="1"/>
    <col min="4075" max="4075" width="15.875" style="506" customWidth="1"/>
    <col min="4076" max="4076" width="14.875" style="506" customWidth="1"/>
    <col min="4077" max="4077" width="14.5" style="506" customWidth="1"/>
    <col min="4078" max="4078" width="15.875" style="506" customWidth="1"/>
    <col min="4079" max="4079" width="12" style="506" bestFit="1" customWidth="1"/>
    <col min="4080" max="4080" width="18.625" style="506" customWidth="1"/>
    <col min="4081" max="4081" width="15.125" style="506" customWidth="1"/>
    <col min="4082" max="4082" width="15.625" style="506" bestFit="1" customWidth="1"/>
    <col min="4083" max="4083" width="16.375" style="506" customWidth="1"/>
    <col min="4084" max="4084" width="13.875" style="506" customWidth="1"/>
    <col min="4085" max="4085" width="18.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75" style="506" customWidth="1"/>
    <col min="4090" max="4090" width="10.875" style="506" customWidth="1"/>
    <col min="4091" max="4091" width="10" style="506" customWidth="1"/>
    <col min="4092" max="4092" width="17.375" style="506" customWidth="1"/>
    <col min="4093" max="4093" width="10.875" style="506" customWidth="1"/>
    <col min="4094" max="4094" width="10" style="506" customWidth="1"/>
    <col min="4095" max="4095" width="16.125" style="506" customWidth="1"/>
    <col min="4096" max="4096" width="10.875" style="506" customWidth="1"/>
    <col min="4097" max="4097" width="12" style="506" customWidth="1"/>
    <col min="4098" max="4098" width="18.875" style="506" customWidth="1"/>
    <col min="4099" max="4099" width="10.875" style="506" customWidth="1"/>
    <col min="4100" max="4100" width="16.25" style="506" bestFit="1" customWidth="1"/>
    <col min="4101" max="4101" width="12.375" style="506" bestFit="1" customWidth="1"/>
    <col min="4102" max="4102" width="10.875" style="506" customWidth="1"/>
    <col min="4103" max="4103" width="10" style="506" customWidth="1"/>
    <col min="4104" max="4104" width="17.5" style="506" customWidth="1"/>
    <col min="4105" max="4105" width="10.875" style="506" customWidth="1"/>
    <col min="4106" max="4106" width="16" style="506" customWidth="1"/>
    <col min="4107" max="4107" width="12.375" style="506" bestFit="1" customWidth="1"/>
    <col min="4108" max="4324" width="11" style="506"/>
    <col min="4325" max="4325" width="32.75" style="506" customWidth="1"/>
    <col min="4326" max="4326" width="14.5" style="506" customWidth="1"/>
    <col min="4327" max="4327" width="15.625" style="506" bestFit="1" customWidth="1"/>
    <col min="4328" max="4328" width="15.5" style="506" customWidth="1"/>
    <col min="4329" max="4329" width="15.625" style="506" customWidth="1"/>
    <col min="4330" max="4330" width="15.625" style="506" bestFit="1" customWidth="1"/>
    <col min="4331" max="4331" width="15.875" style="506" customWidth="1"/>
    <col min="4332" max="4332" width="14.875" style="506" customWidth="1"/>
    <col min="4333" max="4333" width="14.5" style="506" customWidth="1"/>
    <col min="4334" max="4334" width="15.875" style="506" customWidth="1"/>
    <col min="4335" max="4335" width="12" style="506" bestFit="1" customWidth="1"/>
    <col min="4336" max="4336" width="18.625" style="506" customWidth="1"/>
    <col min="4337" max="4337" width="15.125" style="506" customWidth="1"/>
    <col min="4338" max="4338" width="15.625" style="506" bestFit="1" customWidth="1"/>
    <col min="4339" max="4339" width="16.375" style="506" customWidth="1"/>
    <col min="4340" max="4340" width="13.875" style="506" customWidth="1"/>
    <col min="4341" max="4341" width="18.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75" style="506" customWidth="1"/>
    <col min="4346" max="4346" width="10.875" style="506" customWidth="1"/>
    <col min="4347" max="4347" width="10" style="506" customWidth="1"/>
    <col min="4348" max="4348" width="17.375" style="506" customWidth="1"/>
    <col min="4349" max="4349" width="10.875" style="506" customWidth="1"/>
    <col min="4350" max="4350" width="10" style="506" customWidth="1"/>
    <col min="4351" max="4351" width="16.125" style="506" customWidth="1"/>
    <col min="4352" max="4352" width="10.875" style="506" customWidth="1"/>
    <col min="4353" max="4353" width="12" style="506" customWidth="1"/>
    <col min="4354" max="4354" width="18.875" style="506" customWidth="1"/>
    <col min="4355" max="4355" width="10.875" style="506" customWidth="1"/>
    <col min="4356" max="4356" width="16.25" style="506" bestFit="1" customWidth="1"/>
    <col min="4357" max="4357" width="12.375" style="506" bestFit="1" customWidth="1"/>
    <col min="4358" max="4358" width="10.875" style="506" customWidth="1"/>
    <col min="4359" max="4359" width="10" style="506" customWidth="1"/>
    <col min="4360" max="4360" width="17.5" style="506" customWidth="1"/>
    <col min="4361" max="4361" width="10.875" style="506" customWidth="1"/>
    <col min="4362" max="4362" width="16" style="506" customWidth="1"/>
    <col min="4363" max="4363" width="12.375" style="506" bestFit="1" customWidth="1"/>
    <col min="4364" max="4580" width="11" style="506"/>
    <col min="4581" max="4581" width="32.75" style="506" customWidth="1"/>
    <col min="4582" max="4582" width="14.5" style="506" customWidth="1"/>
    <col min="4583" max="4583" width="15.625" style="506" bestFit="1" customWidth="1"/>
    <col min="4584" max="4584" width="15.5" style="506" customWidth="1"/>
    <col min="4585" max="4585" width="15.625" style="506" customWidth="1"/>
    <col min="4586" max="4586" width="15.625" style="506" bestFit="1" customWidth="1"/>
    <col min="4587" max="4587" width="15.875" style="506" customWidth="1"/>
    <col min="4588" max="4588" width="14.875" style="506" customWidth="1"/>
    <col min="4589" max="4589" width="14.5" style="506" customWidth="1"/>
    <col min="4590" max="4590" width="15.875" style="506" customWidth="1"/>
    <col min="4591" max="4591" width="12" style="506" bestFit="1" customWidth="1"/>
    <col min="4592" max="4592" width="18.625" style="506" customWidth="1"/>
    <col min="4593" max="4593" width="15.125" style="506" customWidth="1"/>
    <col min="4594" max="4594" width="15.625" style="506" bestFit="1" customWidth="1"/>
    <col min="4595" max="4595" width="16.375" style="506" customWidth="1"/>
    <col min="4596" max="4596" width="13.875" style="506" customWidth="1"/>
    <col min="4597" max="4597" width="18.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75" style="506" customWidth="1"/>
    <col min="4602" max="4602" width="10.875" style="506" customWidth="1"/>
    <col min="4603" max="4603" width="10" style="506" customWidth="1"/>
    <col min="4604" max="4604" width="17.375" style="506" customWidth="1"/>
    <col min="4605" max="4605" width="10.875" style="506" customWidth="1"/>
    <col min="4606" max="4606" width="10" style="506" customWidth="1"/>
    <col min="4607" max="4607" width="16.125" style="506" customWidth="1"/>
    <col min="4608" max="4608" width="10.875" style="506" customWidth="1"/>
    <col min="4609" max="4609" width="12" style="506" customWidth="1"/>
    <col min="4610" max="4610" width="18.875" style="506" customWidth="1"/>
    <col min="4611" max="4611" width="10.875" style="506" customWidth="1"/>
    <col min="4612" max="4612" width="16.25" style="506" bestFit="1" customWidth="1"/>
    <col min="4613" max="4613" width="12.375" style="506" bestFit="1" customWidth="1"/>
    <col min="4614" max="4614" width="10.875" style="506" customWidth="1"/>
    <col min="4615" max="4615" width="10" style="506" customWidth="1"/>
    <col min="4616" max="4616" width="17.5" style="506" customWidth="1"/>
    <col min="4617" max="4617" width="10.875" style="506" customWidth="1"/>
    <col min="4618" max="4618" width="16" style="506" customWidth="1"/>
    <col min="4619" max="4619" width="12.375" style="506" bestFit="1" customWidth="1"/>
    <col min="4620" max="4836" width="11" style="506"/>
    <col min="4837" max="4837" width="32.75" style="506" customWidth="1"/>
    <col min="4838" max="4838" width="14.5" style="506" customWidth="1"/>
    <col min="4839" max="4839" width="15.625" style="506" bestFit="1" customWidth="1"/>
    <col min="4840" max="4840" width="15.5" style="506" customWidth="1"/>
    <col min="4841" max="4841" width="15.625" style="506" customWidth="1"/>
    <col min="4842" max="4842" width="15.625" style="506" bestFit="1" customWidth="1"/>
    <col min="4843" max="4843" width="15.875" style="506" customWidth="1"/>
    <col min="4844" max="4844" width="14.875" style="506" customWidth="1"/>
    <col min="4845" max="4845" width="14.5" style="506" customWidth="1"/>
    <col min="4846" max="4846" width="15.875" style="506" customWidth="1"/>
    <col min="4847" max="4847" width="12" style="506" bestFit="1" customWidth="1"/>
    <col min="4848" max="4848" width="18.625" style="506" customWidth="1"/>
    <col min="4849" max="4849" width="15.125" style="506" customWidth="1"/>
    <col min="4850" max="4850" width="15.625" style="506" bestFit="1" customWidth="1"/>
    <col min="4851" max="4851" width="16.375" style="506" customWidth="1"/>
    <col min="4852" max="4852" width="13.875" style="506" customWidth="1"/>
    <col min="4853" max="4853" width="18.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75" style="506" customWidth="1"/>
    <col min="4858" max="4858" width="10.875" style="506" customWidth="1"/>
    <col min="4859" max="4859" width="10" style="506" customWidth="1"/>
    <col min="4860" max="4860" width="17.375" style="506" customWidth="1"/>
    <col min="4861" max="4861" width="10.875" style="506" customWidth="1"/>
    <col min="4862" max="4862" width="10" style="506" customWidth="1"/>
    <col min="4863" max="4863" width="16.125" style="506" customWidth="1"/>
    <col min="4864" max="4864" width="10.875" style="506" customWidth="1"/>
    <col min="4865" max="4865" width="12" style="506" customWidth="1"/>
    <col min="4866" max="4866" width="18.875" style="506" customWidth="1"/>
    <col min="4867" max="4867" width="10.875" style="506" customWidth="1"/>
    <col min="4868" max="4868" width="16.25" style="506" bestFit="1" customWidth="1"/>
    <col min="4869" max="4869" width="12.375" style="506" bestFit="1" customWidth="1"/>
    <col min="4870" max="4870" width="10.875" style="506" customWidth="1"/>
    <col min="4871" max="4871" width="10" style="506" customWidth="1"/>
    <col min="4872" max="4872" width="17.5" style="506" customWidth="1"/>
    <col min="4873" max="4873" width="10.875" style="506" customWidth="1"/>
    <col min="4874" max="4874" width="16" style="506" customWidth="1"/>
    <col min="4875" max="4875" width="12.375" style="506" bestFit="1" customWidth="1"/>
    <col min="4876" max="5092" width="11" style="506"/>
    <col min="5093" max="5093" width="32.75" style="506" customWidth="1"/>
    <col min="5094" max="5094" width="14.5" style="506" customWidth="1"/>
    <col min="5095" max="5095" width="15.625" style="506" bestFit="1" customWidth="1"/>
    <col min="5096" max="5096" width="15.5" style="506" customWidth="1"/>
    <col min="5097" max="5097" width="15.625" style="506" customWidth="1"/>
    <col min="5098" max="5098" width="15.625" style="506" bestFit="1" customWidth="1"/>
    <col min="5099" max="5099" width="15.875" style="506" customWidth="1"/>
    <col min="5100" max="5100" width="14.875" style="506" customWidth="1"/>
    <col min="5101" max="5101" width="14.5" style="506" customWidth="1"/>
    <col min="5102" max="5102" width="15.875" style="506" customWidth="1"/>
    <col min="5103" max="5103" width="12" style="506" bestFit="1" customWidth="1"/>
    <col min="5104" max="5104" width="18.625" style="506" customWidth="1"/>
    <col min="5105" max="5105" width="15.125" style="506" customWidth="1"/>
    <col min="5106" max="5106" width="15.625" style="506" bestFit="1" customWidth="1"/>
    <col min="5107" max="5107" width="16.375" style="506" customWidth="1"/>
    <col min="5108" max="5108" width="13.875" style="506" customWidth="1"/>
    <col min="5109" max="5109" width="18.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75" style="506" customWidth="1"/>
    <col min="5114" max="5114" width="10.875" style="506" customWidth="1"/>
    <col min="5115" max="5115" width="10" style="506" customWidth="1"/>
    <col min="5116" max="5116" width="17.375" style="506" customWidth="1"/>
    <col min="5117" max="5117" width="10.875" style="506" customWidth="1"/>
    <col min="5118" max="5118" width="10" style="506" customWidth="1"/>
    <col min="5119" max="5119" width="16.125" style="506" customWidth="1"/>
    <col min="5120" max="5120" width="10.875" style="506" customWidth="1"/>
    <col min="5121" max="5121" width="12" style="506" customWidth="1"/>
    <col min="5122" max="5122" width="18.875" style="506" customWidth="1"/>
    <col min="5123" max="5123" width="10.875" style="506" customWidth="1"/>
    <col min="5124" max="5124" width="16.25" style="506" bestFit="1" customWidth="1"/>
    <col min="5125" max="5125" width="12.375" style="506" bestFit="1" customWidth="1"/>
    <col min="5126" max="5126" width="10.875" style="506" customWidth="1"/>
    <col min="5127" max="5127" width="10" style="506" customWidth="1"/>
    <col min="5128" max="5128" width="17.5" style="506" customWidth="1"/>
    <col min="5129" max="5129" width="10.875" style="506" customWidth="1"/>
    <col min="5130" max="5130" width="16" style="506" customWidth="1"/>
    <col min="5131" max="5131" width="12.375" style="506" bestFit="1" customWidth="1"/>
    <col min="5132" max="5348" width="11" style="506"/>
    <col min="5349" max="5349" width="32.75" style="506" customWidth="1"/>
    <col min="5350" max="5350" width="14.5" style="506" customWidth="1"/>
    <col min="5351" max="5351" width="15.625" style="506" bestFit="1" customWidth="1"/>
    <col min="5352" max="5352" width="15.5" style="506" customWidth="1"/>
    <col min="5353" max="5353" width="15.625" style="506" customWidth="1"/>
    <col min="5354" max="5354" width="15.625" style="506" bestFit="1" customWidth="1"/>
    <col min="5355" max="5355" width="15.875" style="506" customWidth="1"/>
    <col min="5356" max="5356" width="14.875" style="506" customWidth="1"/>
    <col min="5357" max="5357" width="14.5" style="506" customWidth="1"/>
    <col min="5358" max="5358" width="15.875" style="506" customWidth="1"/>
    <col min="5359" max="5359" width="12" style="506" bestFit="1" customWidth="1"/>
    <col min="5360" max="5360" width="18.625" style="506" customWidth="1"/>
    <col min="5361" max="5361" width="15.125" style="506" customWidth="1"/>
    <col min="5362" max="5362" width="15.625" style="506" bestFit="1" customWidth="1"/>
    <col min="5363" max="5363" width="16.375" style="506" customWidth="1"/>
    <col min="5364" max="5364" width="13.875" style="506" customWidth="1"/>
    <col min="5365" max="5365" width="18.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75" style="506" customWidth="1"/>
    <col min="5370" max="5370" width="10.875" style="506" customWidth="1"/>
    <col min="5371" max="5371" width="10" style="506" customWidth="1"/>
    <col min="5372" max="5372" width="17.375" style="506" customWidth="1"/>
    <col min="5373" max="5373" width="10.875" style="506" customWidth="1"/>
    <col min="5374" max="5374" width="10" style="506" customWidth="1"/>
    <col min="5375" max="5375" width="16.125" style="506" customWidth="1"/>
    <col min="5376" max="5376" width="10.875" style="506" customWidth="1"/>
    <col min="5377" max="5377" width="12" style="506" customWidth="1"/>
    <col min="5378" max="5378" width="18.875" style="506" customWidth="1"/>
    <col min="5379" max="5379" width="10.875" style="506" customWidth="1"/>
    <col min="5380" max="5380" width="16.25" style="506" bestFit="1" customWidth="1"/>
    <col min="5381" max="5381" width="12.375" style="506" bestFit="1" customWidth="1"/>
    <col min="5382" max="5382" width="10.875" style="506" customWidth="1"/>
    <col min="5383" max="5383" width="10" style="506" customWidth="1"/>
    <col min="5384" max="5384" width="17.5" style="506" customWidth="1"/>
    <col min="5385" max="5385" width="10.875" style="506" customWidth="1"/>
    <col min="5386" max="5386" width="16" style="506" customWidth="1"/>
    <col min="5387" max="5387" width="12.375" style="506" bestFit="1" customWidth="1"/>
    <col min="5388" max="5604" width="11" style="506"/>
    <col min="5605" max="5605" width="32.75" style="506" customWidth="1"/>
    <col min="5606" max="5606" width="14.5" style="506" customWidth="1"/>
    <col min="5607" max="5607" width="15.625" style="506" bestFit="1" customWidth="1"/>
    <col min="5608" max="5608" width="15.5" style="506" customWidth="1"/>
    <col min="5609" max="5609" width="15.625" style="506" customWidth="1"/>
    <col min="5610" max="5610" width="15.625" style="506" bestFit="1" customWidth="1"/>
    <col min="5611" max="5611" width="15.875" style="506" customWidth="1"/>
    <col min="5612" max="5612" width="14.875" style="506" customWidth="1"/>
    <col min="5613" max="5613" width="14.5" style="506" customWidth="1"/>
    <col min="5614" max="5614" width="15.875" style="506" customWidth="1"/>
    <col min="5615" max="5615" width="12" style="506" bestFit="1" customWidth="1"/>
    <col min="5616" max="5616" width="18.625" style="506" customWidth="1"/>
    <col min="5617" max="5617" width="15.125" style="506" customWidth="1"/>
    <col min="5618" max="5618" width="15.625" style="506" bestFit="1" customWidth="1"/>
    <col min="5619" max="5619" width="16.375" style="506" customWidth="1"/>
    <col min="5620" max="5620" width="13.875" style="506" customWidth="1"/>
    <col min="5621" max="5621" width="18.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75" style="506" customWidth="1"/>
    <col min="5626" max="5626" width="10.875" style="506" customWidth="1"/>
    <col min="5627" max="5627" width="10" style="506" customWidth="1"/>
    <col min="5628" max="5628" width="17.375" style="506" customWidth="1"/>
    <col min="5629" max="5629" width="10.875" style="506" customWidth="1"/>
    <col min="5630" max="5630" width="10" style="506" customWidth="1"/>
    <col min="5631" max="5631" width="16.125" style="506" customWidth="1"/>
    <col min="5632" max="5632" width="10.875" style="506" customWidth="1"/>
    <col min="5633" max="5633" width="12" style="506" customWidth="1"/>
    <col min="5634" max="5634" width="18.875" style="506" customWidth="1"/>
    <col min="5635" max="5635" width="10.875" style="506" customWidth="1"/>
    <col min="5636" max="5636" width="16.25" style="506" bestFit="1" customWidth="1"/>
    <col min="5637" max="5637" width="12.375" style="506" bestFit="1" customWidth="1"/>
    <col min="5638" max="5638" width="10.875" style="506" customWidth="1"/>
    <col min="5639" max="5639" width="10" style="506" customWidth="1"/>
    <col min="5640" max="5640" width="17.5" style="506" customWidth="1"/>
    <col min="5641" max="5641" width="10.875" style="506" customWidth="1"/>
    <col min="5642" max="5642" width="16" style="506" customWidth="1"/>
    <col min="5643" max="5643" width="12.375" style="506" bestFit="1" customWidth="1"/>
    <col min="5644" max="5860" width="11" style="506"/>
    <col min="5861" max="5861" width="32.75" style="506" customWidth="1"/>
    <col min="5862" max="5862" width="14.5" style="506" customWidth="1"/>
    <col min="5863" max="5863" width="15.625" style="506" bestFit="1" customWidth="1"/>
    <col min="5864" max="5864" width="15.5" style="506" customWidth="1"/>
    <col min="5865" max="5865" width="15.625" style="506" customWidth="1"/>
    <col min="5866" max="5866" width="15.625" style="506" bestFit="1" customWidth="1"/>
    <col min="5867" max="5867" width="15.875" style="506" customWidth="1"/>
    <col min="5868" max="5868" width="14.875" style="506" customWidth="1"/>
    <col min="5869" max="5869" width="14.5" style="506" customWidth="1"/>
    <col min="5870" max="5870" width="15.875" style="506" customWidth="1"/>
    <col min="5871" max="5871" width="12" style="506" bestFit="1" customWidth="1"/>
    <col min="5872" max="5872" width="18.625" style="506" customWidth="1"/>
    <col min="5873" max="5873" width="15.125" style="506" customWidth="1"/>
    <col min="5874" max="5874" width="15.625" style="506" bestFit="1" customWidth="1"/>
    <col min="5875" max="5875" width="16.375" style="506" customWidth="1"/>
    <col min="5876" max="5876" width="13.875" style="506" customWidth="1"/>
    <col min="5877" max="5877" width="18.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75" style="506" customWidth="1"/>
    <col min="5882" max="5882" width="10.875" style="506" customWidth="1"/>
    <col min="5883" max="5883" width="10" style="506" customWidth="1"/>
    <col min="5884" max="5884" width="17.375" style="506" customWidth="1"/>
    <col min="5885" max="5885" width="10.875" style="506" customWidth="1"/>
    <col min="5886" max="5886" width="10" style="506" customWidth="1"/>
    <col min="5887" max="5887" width="16.125" style="506" customWidth="1"/>
    <col min="5888" max="5888" width="10.875" style="506" customWidth="1"/>
    <col min="5889" max="5889" width="12" style="506" customWidth="1"/>
    <col min="5890" max="5890" width="18.875" style="506" customWidth="1"/>
    <col min="5891" max="5891" width="10.875" style="506" customWidth="1"/>
    <col min="5892" max="5892" width="16.25" style="506" bestFit="1" customWidth="1"/>
    <col min="5893" max="5893" width="12.375" style="506" bestFit="1" customWidth="1"/>
    <col min="5894" max="5894" width="10.875" style="506" customWidth="1"/>
    <col min="5895" max="5895" width="10" style="506" customWidth="1"/>
    <col min="5896" max="5896" width="17.5" style="506" customWidth="1"/>
    <col min="5897" max="5897" width="10.875" style="506" customWidth="1"/>
    <col min="5898" max="5898" width="16" style="506" customWidth="1"/>
    <col min="5899" max="5899" width="12.375" style="506" bestFit="1" customWidth="1"/>
    <col min="5900" max="6116" width="11" style="506"/>
    <col min="6117" max="6117" width="32.75" style="506" customWidth="1"/>
    <col min="6118" max="6118" width="14.5" style="506" customWidth="1"/>
    <col min="6119" max="6119" width="15.625" style="506" bestFit="1" customWidth="1"/>
    <col min="6120" max="6120" width="15.5" style="506" customWidth="1"/>
    <col min="6121" max="6121" width="15.625" style="506" customWidth="1"/>
    <col min="6122" max="6122" width="15.625" style="506" bestFit="1" customWidth="1"/>
    <col min="6123" max="6123" width="15.875" style="506" customWidth="1"/>
    <col min="6124" max="6124" width="14.875" style="506" customWidth="1"/>
    <col min="6125" max="6125" width="14.5" style="506" customWidth="1"/>
    <col min="6126" max="6126" width="15.875" style="506" customWidth="1"/>
    <col min="6127" max="6127" width="12" style="506" bestFit="1" customWidth="1"/>
    <col min="6128" max="6128" width="18.625" style="506" customWidth="1"/>
    <col min="6129" max="6129" width="15.125" style="506" customWidth="1"/>
    <col min="6130" max="6130" width="15.625" style="506" bestFit="1" customWidth="1"/>
    <col min="6131" max="6131" width="16.375" style="506" customWidth="1"/>
    <col min="6132" max="6132" width="13.875" style="506" customWidth="1"/>
    <col min="6133" max="6133" width="18.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75" style="506" customWidth="1"/>
    <col min="6138" max="6138" width="10.875" style="506" customWidth="1"/>
    <col min="6139" max="6139" width="10" style="506" customWidth="1"/>
    <col min="6140" max="6140" width="17.375" style="506" customWidth="1"/>
    <col min="6141" max="6141" width="10.875" style="506" customWidth="1"/>
    <col min="6142" max="6142" width="10" style="506" customWidth="1"/>
    <col min="6143" max="6143" width="16.125" style="506" customWidth="1"/>
    <col min="6144" max="6144" width="10.875" style="506" customWidth="1"/>
    <col min="6145" max="6145" width="12" style="506" customWidth="1"/>
    <col min="6146" max="6146" width="18.875" style="506" customWidth="1"/>
    <col min="6147" max="6147" width="10.875" style="506" customWidth="1"/>
    <col min="6148" max="6148" width="16.25" style="506" bestFit="1" customWidth="1"/>
    <col min="6149" max="6149" width="12.375" style="506" bestFit="1" customWidth="1"/>
    <col min="6150" max="6150" width="10.875" style="506" customWidth="1"/>
    <col min="6151" max="6151" width="10" style="506" customWidth="1"/>
    <col min="6152" max="6152" width="17.5" style="506" customWidth="1"/>
    <col min="6153" max="6153" width="10.875" style="506" customWidth="1"/>
    <col min="6154" max="6154" width="16" style="506" customWidth="1"/>
    <col min="6155" max="6155" width="12.375" style="506" bestFit="1" customWidth="1"/>
    <col min="6156" max="6372" width="11" style="506"/>
    <col min="6373" max="6373" width="32.75" style="506" customWidth="1"/>
    <col min="6374" max="6374" width="14.5" style="506" customWidth="1"/>
    <col min="6375" max="6375" width="15.625" style="506" bestFit="1" customWidth="1"/>
    <col min="6376" max="6376" width="15.5" style="506" customWidth="1"/>
    <col min="6377" max="6377" width="15.625" style="506" customWidth="1"/>
    <col min="6378" max="6378" width="15.625" style="506" bestFit="1" customWidth="1"/>
    <col min="6379" max="6379" width="15.875" style="506" customWidth="1"/>
    <col min="6380" max="6380" width="14.875" style="506" customWidth="1"/>
    <col min="6381" max="6381" width="14.5" style="506" customWidth="1"/>
    <col min="6382" max="6382" width="15.875" style="506" customWidth="1"/>
    <col min="6383" max="6383" width="12" style="506" bestFit="1" customWidth="1"/>
    <col min="6384" max="6384" width="18.625" style="506" customWidth="1"/>
    <col min="6385" max="6385" width="15.125" style="506" customWidth="1"/>
    <col min="6386" max="6386" width="15.625" style="506" bestFit="1" customWidth="1"/>
    <col min="6387" max="6387" width="16.375" style="506" customWidth="1"/>
    <col min="6388" max="6388" width="13.875" style="506" customWidth="1"/>
    <col min="6389" max="6389" width="18.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75" style="506" customWidth="1"/>
    <col min="6394" max="6394" width="10.875" style="506" customWidth="1"/>
    <col min="6395" max="6395" width="10" style="506" customWidth="1"/>
    <col min="6396" max="6396" width="17.375" style="506" customWidth="1"/>
    <col min="6397" max="6397" width="10.875" style="506" customWidth="1"/>
    <col min="6398" max="6398" width="10" style="506" customWidth="1"/>
    <col min="6399" max="6399" width="16.125" style="506" customWidth="1"/>
    <col min="6400" max="6400" width="10.875" style="506" customWidth="1"/>
    <col min="6401" max="6401" width="12" style="506" customWidth="1"/>
    <col min="6402" max="6402" width="18.875" style="506" customWidth="1"/>
    <col min="6403" max="6403" width="10.875" style="506" customWidth="1"/>
    <col min="6404" max="6404" width="16.25" style="506" bestFit="1" customWidth="1"/>
    <col min="6405" max="6405" width="12.375" style="506" bestFit="1" customWidth="1"/>
    <col min="6406" max="6406" width="10.875" style="506" customWidth="1"/>
    <col min="6407" max="6407" width="10" style="506" customWidth="1"/>
    <col min="6408" max="6408" width="17.5" style="506" customWidth="1"/>
    <col min="6409" max="6409" width="10.875" style="506" customWidth="1"/>
    <col min="6410" max="6410" width="16" style="506" customWidth="1"/>
    <col min="6411" max="6411" width="12.375" style="506" bestFit="1" customWidth="1"/>
    <col min="6412" max="6628" width="11" style="506"/>
    <col min="6629" max="6629" width="32.75" style="506" customWidth="1"/>
    <col min="6630" max="6630" width="14.5" style="506" customWidth="1"/>
    <col min="6631" max="6631" width="15.625" style="506" bestFit="1" customWidth="1"/>
    <col min="6632" max="6632" width="15.5" style="506" customWidth="1"/>
    <col min="6633" max="6633" width="15.625" style="506" customWidth="1"/>
    <col min="6634" max="6634" width="15.625" style="506" bestFit="1" customWidth="1"/>
    <col min="6635" max="6635" width="15.875" style="506" customWidth="1"/>
    <col min="6636" max="6636" width="14.875" style="506" customWidth="1"/>
    <col min="6637" max="6637" width="14.5" style="506" customWidth="1"/>
    <col min="6638" max="6638" width="15.875" style="506" customWidth="1"/>
    <col min="6639" max="6639" width="12" style="506" bestFit="1" customWidth="1"/>
    <col min="6640" max="6640" width="18.625" style="506" customWidth="1"/>
    <col min="6641" max="6641" width="15.125" style="506" customWidth="1"/>
    <col min="6642" max="6642" width="15.625" style="506" bestFit="1" customWidth="1"/>
    <col min="6643" max="6643" width="16.375" style="506" customWidth="1"/>
    <col min="6644" max="6644" width="13.875" style="506" customWidth="1"/>
    <col min="6645" max="6645" width="18.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75" style="506" customWidth="1"/>
    <col min="6650" max="6650" width="10.875" style="506" customWidth="1"/>
    <col min="6651" max="6651" width="10" style="506" customWidth="1"/>
    <col min="6652" max="6652" width="17.375" style="506" customWidth="1"/>
    <col min="6653" max="6653" width="10.875" style="506" customWidth="1"/>
    <col min="6654" max="6654" width="10" style="506" customWidth="1"/>
    <col min="6655" max="6655" width="16.125" style="506" customWidth="1"/>
    <col min="6656" max="6656" width="10.875" style="506" customWidth="1"/>
    <col min="6657" max="6657" width="12" style="506" customWidth="1"/>
    <col min="6658" max="6658" width="18.875" style="506" customWidth="1"/>
    <col min="6659" max="6659" width="10.875" style="506" customWidth="1"/>
    <col min="6660" max="6660" width="16.25" style="506" bestFit="1" customWidth="1"/>
    <col min="6661" max="6661" width="12.375" style="506" bestFit="1" customWidth="1"/>
    <col min="6662" max="6662" width="10.875" style="506" customWidth="1"/>
    <col min="6663" max="6663" width="10" style="506" customWidth="1"/>
    <col min="6664" max="6664" width="17.5" style="506" customWidth="1"/>
    <col min="6665" max="6665" width="10.875" style="506" customWidth="1"/>
    <col min="6666" max="6666" width="16" style="506" customWidth="1"/>
    <col min="6667" max="6667" width="12.375" style="506" bestFit="1" customWidth="1"/>
    <col min="6668" max="6884" width="11" style="506"/>
    <col min="6885" max="6885" width="32.75" style="506" customWidth="1"/>
    <col min="6886" max="6886" width="14.5" style="506" customWidth="1"/>
    <col min="6887" max="6887" width="15.625" style="506" bestFit="1" customWidth="1"/>
    <col min="6888" max="6888" width="15.5" style="506" customWidth="1"/>
    <col min="6889" max="6889" width="15.625" style="506" customWidth="1"/>
    <col min="6890" max="6890" width="15.625" style="506" bestFit="1" customWidth="1"/>
    <col min="6891" max="6891" width="15.875" style="506" customWidth="1"/>
    <col min="6892" max="6892" width="14.875" style="506" customWidth="1"/>
    <col min="6893" max="6893" width="14.5" style="506" customWidth="1"/>
    <col min="6894" max="6894" width="15.875" style="506" customWidth="1"/>
    <col min="6895" max="6895" width="12" style="506" bestFit="1" customWidth="1"/>
    <col min="6896" max="6896" width="18.625" style="506" customWidth="1"/>
    <col min="6897" max="6897" width="15.125" style="506" customWidth="1"/>
    <col min="6898" max="6898" width="15.625" style="506" bestFit="1" customWidth="1"/>
    <col min="6899" max="6899" width="16.375" style="506" customWidth="1"/>
    <col min="6900" max="6900" width="13.875" style="506" customWidth="1"/>
    <col min="6901" max="6901" width="18.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75" style="506" customWidth="1"/>
    <col min="6906" max="6906" width="10.875" style="506" customWidth="1"/>
    <col min="6907" max="6907" width="10" style="506" customWidth="1"/>
    <col min="6908" max="6908" width="17.375" style="506" customWidth="1"/>
    <col min="6909" max="6909" width="10.875" style="506" customWidth="1"/>
    <col min="6910" max="6910" width="10" style="506" customWidth="1"/>
    <col min="6911" max="6911" width="16.125" style="506" customWidth="1"/>
    <col min="6912" max="6912" width="10.875" style="506" customWidth="1"/>
    <col min="6913" max="6913" width="12" style="506" customWidth="1"/>
    <col min="6914" max="6914" width="18.875" style="506" customWidth="1"/>
    <col min="6915" max="6915" width="10.875" style="506" customWidth="1"/>
    <col min="6916" max="6916" width="16.25" style="506" bestFit="1" customWidth="1"/>
    <col min="6917" max="6917" width="12.375" style="506" bestFit="1" customWidth="1"/>
    <col min="6918" max="6918" width="10.875" style="506" customWidth="1"/>
    <col min="6919" max="6919" width="10" style="506" customWidth="1"/>
    <col min="6920" max="6920" width="17.5" style="506" customWidth="1"/>
    <col min="6921" max="6921" width="10.875" style="506" customWidth="1"/>
    <col min="6922" max="6922" width="16" style="506" customWidth="1"/>
    <col min="6923" max="6923" width="12.375" style="506" bestFit="1" customWidth="1"/>
    <col min="6924" max="7140" width="11" style="506"/>
    <col min="7141" max="7141" width="32.75" style="506" customWidth="1"/>
    <col min="7142" max="7142" width="14.5" style="506" customWidth="1"/>
    <col min="7143" max="7143" width="15.625" style="506" bestFit="1" customWidth="1"/>
    <col min="7144" max="7144" width="15.5" style="506" customWidth="1"/>
    <col min="7145" max="7145" width="15.625" style="506" customWidth="1"/>
    <col min="7146" max="7146" width="15.625" style="506" bestFit="1" customWidth="1"/>
    <col min="7147" max="7147" width="15.875" style="506" customWidth="1"/>
    <col min="7148" max="7148" width="14.875" style="506" customWidth="1"/>
    <col min="7149" max="7149" width="14.5" style="506" customWidth="1"/>
    <col min="7150" max="7150" width="15.875" style="506" customWidth="1"/>
    <col min="7151" max="7151" width="12" style="506" bestFit="1" customWidth="1"/>
    <col min="7152" max="7152" width="18.625" style="506" customWidth="1"/>
    <col min="7153" max="7153" width="15.125" style="506" customWidth="1"/>
    <col min="7154" max="7154" width="15.625" style="506" bestFit="1" customWidth="1"/>
    <col min="7155" max="7155" width="16.375" style="506" customWidth="1"/>
    <col min="7156" max="7156" width="13.875" style="506" customWidth="1"/>
    <col min="7157" max="7157" width="18.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75" style="506" customWidth="1"/>
    <col min="7162" max="7162" width="10.875" style="506" customWidth="1"/>
    <col min="7163" max="7163" width="10" style="506" customWidth="1"/>
    <col min="7164" max="7164" width="17.375" style="506" customWidth="1"/>
    <col min="7165" max="7165" width="10.875" style="506" customWidth="1"/>
    <col min="7166" max="7166" width="10" style="506" customWidth="1"/>
    <col min="7167" max="7167" width="16.125" style="506" customWidth="1"/>
    <col min="7168" max="7168" width="10.875" style="506" customWidth="1"/>
    <col min="7169" max="7169" width="12" style="506" customWidth="1"/>
    <col min="7170" max="7170" width="18.875" style="506" customWidth="1"/>
    <col min="7171" max="7171" width="10.875" style="506" customWidth="1"/>
    <col min="7172" max="7172" width="16.25" style="506" bestFit="1" customWidth="1"/>
    <col min="7173" max="7173" width="12.375" style="506" bestFit="1" customWidth="1"/>
    <col min="7174" max="7174" width="10.875" style="506" customWidth="1"/>
    <col min="7175" max="7175" width="10" style="506" customWidth="1"/>
    <col min="7176" max="7176" width="17.5" style="506" customWidth="1"/>
    <col min="7177" max="7177" width="10.875" style="506" customWidth="1"/>
    <col min="7178" max="7178" width="16" style="506" customWidth="1"/>
    <col min="7179" max="7179" width="12.375" style="506" bestFit="1" customWidth="1"/>
    <col min="7180" max="7396" width="11" style="506"/>
    <col min="7397" max="7397" width="32.75" style="506" customWidth="1"/>
    <col min="7398" max="7398" width="14.5" style="506" customWidth="1"/>
    <col min="7399" max="7399" width="15.625" style="506" bestFit="1" customWidth="1"/>
    <col min="7400" max="7400" width="15.5" style="506" customWidth="1"/>
    <col min="7401" max="7401" width="15.625" style="506" customWidth="1"/>
    <col min="7402" max="7402" width="15.625" style="506" bestFit="1" customWidth="1"/>
    <col min="7403" max="7403" width="15.875" style="506" customWidth="1"/>
    <col min="7404" max="7404" width="14.875" style="506" customWidth="1"/>
    <col min="7405" max="7405" width="14.5" style="506" customWidth="1"/>
    <col min="7406" max="7406" width="15.875" style="506" customWidth="1"/>
    <col min="7407" max="7407" width="12" style="506" bestFit="1" customWidth="1"/>
    <col min="7408" max="7408" width="18.625" style="506" customWidth="1"/>
    <col min="7409" max="7409" width="15.125" style="506" customWidth="1"/>
    <col min="7410" max="7410" width="15.625" style="506" bestFit="1" customWidth="1"/>
    <col min="7411" max="7411" width="16.375" style="506" customWidth="1"/>
    <col min="7412" max="7412" width="13.875" style="506" customWidth="1"/>
    <col min="7413" max="7413" width="18.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75" style="506" customWidth="1"/>
    <col min="7418" max="7418" width="10.875" style="506" customWidth="1"/>
    <col min="7419" max="7419" width="10" style="506" customWidth="1"/>
    <col min="7420" max="7420" width="17.375" style="506" customWidth="1"/>
    <col min="7421" max="7421" width="10.875" style="506" customWidth="1"/>
    <col min="7422" max="7422" width="10" style="506" customWidth="1"/>
    <col min="7423" max="7423" width="16.125" style="506" customWidth="1"/>
    <col min="7424" max="7424" width="10.875" style="506" customWidth="1"/>
    <col min="7425" max="7425" width="12" style="506" customWidth="1"/>
    <col min="7426" max="7426" width="18.875" style="506" customWidth="1"/>
    <col min="7427" max="7427" width="10.875" style="506" customWidth="1"/>
    <col min="7428" max="7428" width="16.25" style="506" bestFit="1" customWidth="1"/>
    <col min="7429" max="7429" width="12.375" style="506" bestFit="1" customWidth="1"/>
    <col min="7430" max="7430" width="10.875" style="506" customWidth="1"/>
    <col min="7431" max="7431" width="10" style="506" customWidth="1"/>
    <col min="7432" max="7432" width="17.5" style="506" customWidth="1"/>
    <col min="7433" max="7433" width="10.875" style="506" customWidth="1"/>
    <col min="7434" max="7434" width="16" style="506" customWidth="1"/>
    <col min="7435" max="7435" width="12.375" style="506" bestFit="1" customWidth="1"/>
    <col min="7436" max="7652" width="11" style="506"/>
    <col min="7653" max="7653" width="32.75" style="506" customWidth="1"/>
    <col min="7654" max="7654" width="14.5" style="506" customWidth="1"/>
    <col min="7655" max="7655" width="15.625" style="506" bestFit="1" customWidth="1"/>
    <col min="7656" max="7656" width="15.5" style="506" customWidth="1"/>
    <col min="7657" max="7657" width="15.625" style="506" customWidth="1"/>
    <col min="7658" max="7658" width="15.625" style="506" bestFit="1" customWidth="1"/>
    <col min="7659" max="7659" width="15.875" style="506" customWidth="1"/>
    <col min="7660" max="7660" width="14.875" style="506" customWidth="1"/>
    <col min="7661" max="7661" width="14.5" style="506" customWidth="1"/>
    <col min="7662" max="7662" width="15.875" style="506" customWidth="1"/>
    <col min="7663" max="7663" width="12" style="506" bestFit="1" customWidth="1"/>
    <col min="7664" max="7664" width="18.625" style="506" customWidth="1"/>
    <col min="7665" max="7665" width="15.125" style="506" customWidth="1"/>
    <col min="7666" max="7666" width="15.625" style="506" bestFit="1" customWidth="1"/>
    <col min="7667" max="7667" width="16.375" style="506" customWidth="1"/>
    <col min="7668" max="7668" width="13.875" style="506" customWidth="1"/>
    <col min="7669" max="7669" width="18.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75" style="506" customWidth="1"/>
    <col min="7674" max="7674" width="10.875" style="506" customWidth="1"/>
    <col min="7675" max="7675" width="10" style="506" customWidth="1"/>
    <col min="7676" max="7676" width="17.375" style="506" customWidth="1"/>
    <col min="7677" max="7677" width="10.875" style="506" customWidth="1"/>
    <col min="7678" max="7678" width="10" style="506" customWidth="1"/>
    <col min="7679" max="7679" width="16.125" style="506" customWidth="1"/>
    <col min="7680" max="7680" width="10.875" style="506" customWidth="1"/>
    <col min="7681" max="7681" width="12" style="506" customWidth="1"/>
    <col min="7682" max="7682" width="18.875" style="506" customWidth="1"/>
    <col min="7683" max="7683" width="10.875" style="506" customWidth="1"/>
    <col min="7684" max="7684" width="16.25" style="506" bestFit="1" customWidth="1"/>
    <col min="7685" max="7685" width="12.375" style="506" bestFit="1" customWidth="1"/>
    <col min="7686" max="7686" width="10.875" style="506" customWidth="1"/>
    <col min="7687" max="7687" width="10" style="506" customWidth="1"/>
    <col min="7688" max="7688" width="17.5" style="506" customWidth="1"/>
    <col min="7689" max="7689" width="10.875" style="506" customWidth="1"/>
    <col min="7690" max="7690" width="16" style="506" customWidth="1"/>
    <col min="7691" max="7691" width="12.375" style="506" bestFit="1" customWidth="1"/>
    <col min="7692" max="7908" width="11" style="506"/>
    <col min="7909" max="7909" width="32.75" style="506" customWidth="1"/>
    <col min="7910" max="7910" width="14.5" style="506" customWidth="1"/>
    <col min="7911" max="7911" width="15.625" style="506" bestFit="1" customWidth="1"/>
    <col min="7912" max="7912" width="15.5" style="506" customWidth="1"/>
    <col min="7913" max="7913" width="15.625" style="506" customWidth="1"/>
    <col min="7914" max="7914" width="15.625" style="506" bestFit="1" customWidth="1"/>
    <col min="7915" max="7915" width="15.875" style="506" customWidth="1"/>
    <col min="7916" max="7916" width="14.875" style="506" customWidth="1"/>
    <col min="7917" max="7917" width="14.5" style="506" customWidth="1"/>
    <col min="7918" max="7918" width="15.875" style="506" customWidth="1"/>
    <col min="7919" max="7919" width="12" style="506" bestFit="1" customWidth="1"/>
    <col min="7920" max="7920" width="18.625" style="506" customWidth="1"/>
    <col min="7921" max="7921" width="15.125" style="506" customWidth="1"/>
    <col min="7922" max="7922" width="15.625" style="506" bestFit="1" customWidth="1"/>
    <col min="7923" max="7923" width="16.375" style="506" customWidth="1"/>
    <col min="7924" max="7924" width="13.875" style="506" customWidth="1"/>
    <col min="7925" max="7925" width="18.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75" style="506" customWidth="1"/>
    <col min="7930" max="7930" width="10.875" style="506" customWidth="1"/>
    <col min="7931" max="7931" width="10" style="506" customWidth="1"/>
    <col min="7932" max="7932" width="17.375" style="506" customWidth="1"/>
    <col min="7933" max="7933" width="10.875" style="506" customWidth="1"/>
    <col min="7934" max="7934" width="10" style="506" customWidth="1"/>
    <col min="7935" max="7935" width="16.125" style="506" customWidth="1"/>
    <col min="7936" max="7936" width="10.875" style="506" customWidth="1"/>
    <col min="7937" max="7937" width="12" style="506" customWidth="1"/>
    <col min="7938" max="7938" width="18.875" style="506" customWidth="1"/>
    <col min="7939" max="7939" width="10.875" style="506" customWidth="1"/>
    <col min="7940" max="7940" width="16.25" style="506" bestFit="1" customWidth="1"/>
    <col min="7941" max="7941" width="12.375" style="506" bestFit="1" customWidth="1"/>
    <col min="7942" max="7942" width="10.875" style="506" customWidth="1"/>
    <col min="7943" max="7943" width="10" style="506" customWidth="1"/>
    <col min="7944" max="7944" width="17.5" style="506" customWidth="1"/>
    <col min="7945" max="7945" width="10.875" style="506" customWidth="1"/>
    <col min="7946" max="7946" width="16" style="506" customWidth="1"/>
    <col min="7947" max="7947" width="12.375" style="506" bestFit="1" customWidth="1"/>
    <col min="7948" max="8164" width="11" style="506"/>
    <col min="8165" max="8165" width="32.75" style="506" customWidth="1"/>
    <col min="8166" max="8166" width="14.5" style="506" customWidth="1"/>
    <col min="8167" max="8167" width="15.625" style="506" bestFit="1" customWidth="1"/>
    <col min="8168" max="8168" width="15.5" style="506" customWidth="1"/>
    <col min="8169" max="8169" width="15.625" style="506" customWidth="1"/>
    <col min="8170" max="8170" width="15.625" style="506" bestFit="1" customWidth="1"/>
    <col min="8171" max="8171" width="15.875" style="506" customWidth="1"/>
    <col min="8172" max="8172" width="14.875" style="506" customWidth="1"/>
    <col min="8173" max="8173" width="14.5" style="506" customWidth="1"/>
    <col min="8174" max="8174" width="15.875" style="506" customWidth="1"/>
    <col min="8175" max="8175" width="12" style="506" bestFit="1" customWidth="1"/>
    <col min="8176" max="8176" width="18.625" style="506" customWidth="1"/>
    <col min="8177" max="8177" width="15.125" style="506" customWidth="1"/>
    <col min="8178" max="8178" width="15.625" style="506" bestFit="1" customWidth="1"/>
    <col min="8179" max="8179" width="16.375" style="506" customWidth="1"/>
    <col min="8180" max="8180" width="13.875" style="506" customWidth="1"/>
    <col min="8181" max="8181" width="18.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75" style="506" customWidth="1"/>
    <col min="8186" max="8186" width="10.875" style="506" customWidth="1"/>
    <col min="8187" max="8187" width="10" style="506" customWidth="1"/>
    <col min="8188" max="8188" width="17.375" style="506" customWidth="1"/>
    <col min="8189" max="8189" width="10.875" style="506" customWidth="1"/>
    <col min="8190" max="8190" width="10" style="506" customWidth="1"/>
    <col min="8191" max="8191" width="16.125" style="506" customWidth="1"/>
    <col min="8192" max="8192" width="10.875" style="506" customWidth="1"/>
    <col min="8193" max="8193" width="12" style="506" customWidth="1"/>
    <col min="8194" max="8194" width="18.875" style="506" customWidth="1"/>
    <col min="8195" max="8195" width="10.875" style="506" customWidth="1"/>
    <col min="8196" max="8196" width="16.25" style="506" bestFit="1" customWidth="1"/>
    <col min="8197" max="8197" width="12.375" style="506" bestFit="1" customWidth="1"/>
    <col min="8198" max="8198" width="10.875" style="506" customWidth="1"/>
    <col min="8199" max="8199" width="10" style="506" customWidth="1"/>
    <col min="8200" max="8200" width="17.5" style="506" customWidth="1"/>
    <col min="8201" max="8201" width="10.875" style="506" customWidth="1"/>
    <col min="8202" max="8202" width="16" style="506" customWidth="1"/>
    <col min="8203" max="8203" width="12.375" style="506" bestFit="1" customWidth="1"/>
    <col min="8204" max="8420" width="11" style="506"/>
    <col min="8421" max="8421" width="32.75" style="506" customWidth="1"/>
    <col min="8422" max="8422" width="14.5" style="506" customWidth="1"/>
    <col min="8423" max="8423" width="15.625" style="506" bestFit="1" customWidth="1"/>
    <col min="8424" max="8424" width="15.5" style="506" customWidth="1"/>
    <col min="8425" max="8425" width="15.625" style="506" customWidth="1"/>
    <col min="8426" max="8426" width="15.625" style="506" bestFit="1" customWidth="1"/>
    <col min="8427" max="8427" width="15.875" style="506" customWidth="1"/>
    <col min="8428" max="8428" width="14.875" style="506" customWidth="1"/>
    <col min="8429" max="8429" width="14.5" style="506" customWidth="1"/>
    <col min="8430" max="8430" width="15.875" style="506" customWidth="1"/>
    <col min="8431" max="8431" width="12" style="506" bestFit="1" customWidth="1"/>
    <col min="8432" max="8432" width="18.625" style="506" customWidth="1"/>
    <col min="8433" max="8433" width="15.125" style="506" customWidth="1"/>
    <col min="8434" max="8434" width="15.625" style="506" bestFit="1" customWidth="1"/>
    <col min="8435" max="8435" width="16.375" style="506" customWidth="1"/>
    <col min="8436" max="8436" width="13.875" style="506" customWidth="1"/>
    <col min="8437" max="8437" width="18.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75" style="506" customWidth="1"/>
    <col min="8442" max="8442" width="10.875" style="506" customWidth="1"/>
    <col min="8443" max="8443" width="10" style="506" customWidth="1"/>
    <col min="8444" max="8444" width="17.375" style="506" customWidth="1"/>
    <col min="8445" max="8445" width="10.875" style="506" customWidth="1"/>
    <col min="8446" max="8446" width="10" style="506" customWidth="1"/>
    <col min="8447" max="8447" width="16.125" style="506" customWidth="1"/>
    <col min="8448" max="8448" width="10.875" style="506" customWidth="1"/>
    <col min="8449" max="8449" width="12" style="506" customWidth="1"/>
    <col min="8450" max="8450" width="18.875" style="506" customWidth="1"/>
    <col min="8451" max="8451" width="10.875" style="506" customWidth="1"/>
    <col min="8452" max="8452" width="16.25" style="506" bestFit="1" customWidth="1"/>
    <col min="8453" max="8453" width="12.375" style="506" bestFit="1" customWidth="1"/>
    <col min="8454" max="8454" width="10.875" style="506" customWidth="1"/>
    <col min="8455" max="8455" width="10" style="506" customWidth="1"/>
    <col min="8456" max="8456" width="17.5" style="506" customWidth="1"/>
    <col min="8457" max="8457" width="10.875" style="506" customWidth="1"/>
    <col min="8458" max="8458" width="16" style="506" customWidth="1"/>
    <col min="8459" max="8459" width="12.375" style="506" bestFit="1" customWidth="1"/>
    <col min="8460" max="8676" width="11" style="506"/>
    <col min="8677" max="8677" width="32.75" style="506" customWidth="1"/>
    <col min="8678" max="8678" width="14.5" style="506" customWidth="1"/>
    <col min="8679" max="8679" width="15.625" style="506" bestFit="1" customWidth="1"/>
    <col min="8680" max="8680" width="15.5" style="506" customWidth="1"/>
    <col min="8681" max="8681" width="15.625" style="506" customWidth="1"/>
    <col min="8682" max="8682" width="15.625" style="506" bestFit="1" customWidth="1"/>
    <col min="8683" max="8683" width="15.875" style="506" customWidth="1"/>
    <col min="8684" max="8684" width="14.875" style="506" customWidth="1"/>
    <col min="8685" max="8685" width="14.5" style="506" customWidth="1"/>
    <col min="8686" max="8686" width="15.875" style="506" customWidth="1"/>
    <col min="8687" max="8687" width="12" style="506" bestFit="1" customWidth="1"/>
    <col min="8688" max="8688" width="18.625" style="506" customWidth="1"/>
    <col min="8689" max="8689" width="15.125" style="506" customWidth="1"/>
    <col min="8690" max="8690" width="15.625" style="506" bestFit="1" customWidth="1"/>
    <col min="8691" max="8691" width="16.375" style="506" customWidth="1"/>
    <col min="8692" max="8692" width="13.875" style="506" customWidth="1"/>
    <col min="8693" max="8693" width="18.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75" style="506" customWidth="1"/>
    <col min="8698" max="8698" width="10.875" style="506" customWidth="1"/>
    <col min="8699" max="8699" width="10" style="506" customWidth="1"/>
    <col min="8700" max="8700" width="17.375" style="506" customWidth="1"/>
    <col min="8701" max="8701" width="10.875" style="506" customWidth="1"/>
    <col min="8702" max="8702" width="10" style="506" customWidth="1"/>
    <col min="8703" max="8703" width="16.125" style="506" customWidth="1"/>
    <col min="8704" max="8704" width="10.875" style="506" customWidth="1"/>
    <col min="8705" max="8705" width="12" style="506" customWidth="1"/>
    <col min="8706" max="8706" width="18.875" style="506" customWidth="1"/>
    <col min="8707" max="8707" width="10.875" style="506" customWidth="1"/>
    <col min="8708" max="8708" width="16.25" style="506" bestFit="1" customWidth="1"/>
    <col min="8709" max="8709" width="12.375" style="506" bestFit="1" customWidth="1"/>
    <col min="8710" max="8710" width="10.875" style="506" customWidth="1"/>
    <col min="8711" max="8711" width="10" style="506" customWidth="1"/>
    <col min="8712" max="8712" width="17.5" style="506" customWidth="1"/>
    <col min="8713" max="8713" width="10.875" style="506" customWidth="1"/>
    <col min="8714" max="8714" width="16" style="506" customWidth="1"/>
    <col min="8715" max="8715" width="12.375" style="506" bestFit="1" customWidth="1"/>
    <col min="8716" max="8932" width="11" style="506"/>
    <col min="8933" max="8933" width="32.75" style="506" customWidth="1"/>
    <col min="8934" max="8934" width="14.5" style="506" customWidth="1"/>
    <col min="8935" max="8935" width="15.625" style="506" bestFit="1" customWidth="1"/>
    <col min="8936" max="8936" width="15.5" style="506" customWidth="1"/>
    <col min="8937" max="8937" width="15.625" style="506" customWidth="1"/>
    <col min="8938" max="8938" width="15.625" style="506" bestFit="1" customWidth="1"/>
    <col min="8939" max="8939" width="15.875" style="506" customWidth="1"/>
    <col min="8940" max="8940" width="14.875" style="506" customWidth="1"/>
    <col min="8941" max="8941" width="14.5" style="506" customWidth="1"/>
    <col min="8942" max="8942" width="15.875" style="506" customWidth="1"/>
    <col min="8943" max="8943" width="12" style="506" bestFit="1" customWidth="1"/>
    <col min="8944" max="8944" width="18.625" style="506" customWidth="1"/>
    <col min="8945" max="8945" width="15.125" style="506" customWidth="1"/>
    <col min="8946" max="8946" width="15.625" style="506" bestFit="1" customWidth="1"/>
    <col min="8947" max="8947" width="16.375" style="506" customWidth="1"/>
    <col min="8948" max="8948" width="13.875" style="506" customWidth="1"/>
    <col min="8949" max="8949" width="18.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75" style="506" customWidth="1"/>
    <col min="8954" max="8954" width="10.875" style="506" customWidth="1"/>
    <col min="8955" max="8955" width="10" style="506" customWidth="1"/>
    <col min="8956" max="8956" width="17.375" style="506" customWidth="1"/>
    <col min="8957" max="8957" width="10.875" style="506" customWidth="1"/>
    <col min="8958" max="8958" width="10" style="506" customWidth="1"/>
    <col min="8959" max="8959" width="16.125" style="506" customWidth="1"/>
    <col min="8960" max="8960" width="10.875" style="506" customWidth="1"/>
    <col min="8961" max="8961" width="12" style="506" customWidth="1"/>
    <col min="8962" max="8962" width="18.875" style="506" customWidth="1"/>
    <col min="8963" max="8963" width="10.875" style="506" customWidth="1"/>
    <col min="8964" max="8964" width="16.25" style="506" bestFit="1" customWidth="1"/>
    <col min="8965" max="8965" width="12.375" style="506" bestFit="1" customWidth="1"/>
    <col min="8966" max="8966" width="10.875" style="506" customWidth="1"/>
    <col min="8967" max="8967" width="10" style="506" customWidth="1"/>
    <col min="8968" max="8968" width="17.5" style="506" customWidth="1"/>
    <col min="8969" max="8969" width="10.875" style="506" customWidth="1"/>
    <col min="8970" max="8970" width="16" style="506" customWidth="1"/>
    <col min="8971" max="8971" width="12.375" style="506" bestFit="1" customWidth="1"/>
    <col min="8972" max="9188" width="11" style="506"/>
    <col min="9189" max="9189" width="32.75" style="506" customWidth="1"/>
    <col min="9190" max="9190" width="14.5" style="506" customWidth="1"/>
    <col min="9191" max="9191" width="15.625" style="506" bestFit="1" customWidth="1"/>
    <col min="9192" max="9192" width="15.5" style="506" customWidth="1"/>
    <col min="9193" max="9193" width="15.625" style="506" customWidth="1"/>
    <col min="9194" max="9194" width="15.625" style="506" bestFit="1" customWidth="1"/>
    <col min="9195" max="9195" width="15.875" style="506" customWidth="1"/>
    <col min="9196" max="9196" width="14.875" style="506" customWidth="1"/>
    <col min="9197" max="9197" width="14.5" style="506" customWidth="1"/>
    <col min="9198" max="9198" width="15.875" style="506" customWidth="1"/>
    <col min="9199" max="9199" width="12" style="506" bestFit="1" customWidth="1"/>
    <col min="9200" max="9200" width="18.625" style="506" customWidth="1"/>
    <col min="9201" max="9201" width="15.125" style="506" customWidth="1"/>
    <col min="9202" max="9202" width="15.625" style="506" bestFit="1" customWidth="1"/>
    <col min="9203" max="9203" width="16.375" style="506" customWidth="1"/>
    <col min="9204" max="9204" width="13.875" style="506" customWidth="1"/>
    <col min="9205" max="9205" width="18.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75" style="506" customWidth="1"/>
    <col min="9210" max="9210" width="10.875" style="506" customWidth="1"/>
    <col min="9211" max="9211" width="10" style="506" customWidth="1"/>
    <col min="9212" max="9212" width="17.375" style="506" customWidth="1"/>
    <col min="9213" max="9213" width="10.875" style="506" customWidth="1"/>
    <col min="9214" max="9214" width="10" style="506" customWidth="1"/>
    <col min="9215" max="9215" width="16.125" style="506" customWidth="1"/>
    <col min="9216" max="9216" width="10.875" style="506" customWidth="1"/>
    <col min="9217" max="9217" width="12" style="506" customWidth="1"/>
    <col min="9218" max="9218" width="18.875" style="506" customWidth="1"/>
    <col min="9219" max="9219" width="10.875" style="506" customWidth="1"/>
    <col min="9220" max="9220" width="16.25" style="506" bestFit="1" customWidth="1"/>
    <col min="9221" max="9221" width="12.375" style="506" bestFit="1" customWidth="1"/>
    <col min="9222" max="9222" width="10.875" style="506" customWidth="1"/>
    <col min="9223" max="9223" width="10" style="506" customWidth="1"/>
    <col min="9224" max="9224" width="17.5" style="506" customWidth="1"/>
    <col min="9225" max="9225" width="10.875" style="506" customWidth="1"/>
    <col min="9226" max="9226" width="16" style="506" customWidth="1"/>
    <col min="9227" max="9227" width="12.375" style="506" bestFit="1" customWidth="1"/>
    <col min="9228" max="9444" width="11" style="506"/>
    <col min="9445" max="9445" width="32.75" style="506" customWidth="1"/>
    <col min="9446" max="9446" width="14.5" style="506" customWidth="1"/>
    <col min="9447" max="9447" width="15.625" style="506" bestFit="1" customWidth="1"/>
    <col min="9448" max="9448" width="15.5" style="506" customWidth="1"/>
    <col min="9449" max="9449" width="15.625" style="506" customWidth="1"/>
    <col min="9450" max="9450" width="15.625" style="506" bestFit="1" customWidth="1"/>
    <col min="9451" max="9451" width="15.875" style="506" customWidth="1"/>
    <col min="9452" max="9452" width="14.875" style="506" customWidth="1"/>
    <col min="9453" max="9453" width="14.5" style="506" customWidth="1"/>
    <col min="9454" max="9454" width="15.875" style="506" customWidth="1"/>
    <col min="9455" max="9455" width="12" style="506" bestFit="1" customWidth="1"/>
    <col min="9456" max="9456" width="18.625" style="506" customWidth="1"/>
    <col min="9457" max="9457" width="15.125" style="506" customWidth="1"/>
    <col min="9458" max="9458" width="15.625" style="506" bestFit="1" customWidth="1"/>
    <col min="9459" max="9459" width="16.375" style="506" customWidth="1"/>
    <col min="9460" max="9460" width="13.875" style="506" customWidth="1"/>
    <col min="9461" max="9461" width="18.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75" style="506" customWidth="1"/>
    <col min="9466" max="9466" width="10.875" style="506" customWidth="1"/>
    <col min="9467" max="9467" width="10" style="506" customWidth="1"/>
    <col min="9468" max="9468" width="17.375" style="506" customWidth="1"/>
    <col min="9469" max="9469" width="10.875" style="506" customWidth="1"/>
    <col min="9470" max="9470" width="10" style="506" customWidth="1"/>
    <col min="9471" max="9471" width="16.125" style="506" customWidth="1"/>
    <col min="9472" max="9472" width="10.875" style="506" customWidth="1"/>
    <col min="9473" max="9473" width="12" style="506" customWidth="1"/>
    <col min="9474" max="9474" width="18.875" style="506" customWidth="1"/>
    <col min="9475" max="9475" width="10.875" style="506" customWidth="1"/>
    <col min="9476" max="9476" width="16.25" style="506" bestFit="1" customWidth="1"/>
    <col min="9477" max="9477" width="12.375" style="506" bestFit="1" customWidth="1"/>
    <col min="9478" max="9478" width="10.875" style="506" customWidth="1"/>
    <col min="9479" max="9479" width="10" style="506" customWidth="1"/>
    <col min="9480" max="9480" width="17.5" style="506" customWidth="1"/>
    <col min="9481" max="9481" width="10.875" style="506" customWidth="1"/>
    <col min="9482" max="9482" width="16" style="506" customWidth="1"/>
    <col min="9483" max="9483" width="12.375" style="506" bestFit="1" customWidth="1"/>
    <col min="9484" max="9700" width="11" style="506"/>
    <col min="9701" max="9701" width="32.75" style="506" customWidth="1"/>
    <col min="9702" max="9702" width="14.5" style="506" customWidth="1"/>
    <col min="9703" max="9703" width="15.625" style="506" bestFit="1" customWidth="1"/>
    <col min="9704" max="9704" width="15.5" style="506" customWidth="1"/>
    <col min="9705" max="9705" width="15.625" style="506" customWidth="1"/>
    <col min="9706" max="9706" width="15.625" style="506" bestFit="1" customWidth="1"/>
    <col min="9707" max="9707" width="15.875" style="506" customWidth="1"/>
    <col min="9708" max="9708" width="14.875" style="506" customWidth="1"/>
    <col min="9709" max="9709" width="14.5" style="506" customWidth="1"/>
    <col min="9710" max="9710" width="15.875" style="506" customWidth="1"/>
    <col min="9711" max="9711" width="12" style="506" bestFit="1" customWidth="1"/>
    <col min="9712" max="9712" width="18.625" style="506" customWidth="1"/>
    <col min="9713" max="9713" width="15.125" style="506" customWidth="1"/>
    <col min="9714" max="9714" width="15.625" style="506" bestFit="1" customWidth="1"/>
    <col min="9715" max="9715" width="16.375" style="506" customWidth="1"/>
    <col min="9716" max="9716" width="13.875" style="506" customWidth="1"/>
    <col min="9717" max="9717" width="18.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75" style="506" customWidth="1"/>
    <col min="9722" max="9722" width="10.875" style="506" customWidth="1"/>
    <col min="9723" max="9723" width="10" style="506" customWidth="1"/>
    <col min="9724" max="9724" width="17.375" style="506" customWidth="1"/>
    <col min="9725" max="9725" width="10.875" style="506" customWidth="1"/>
    <col min="9726" max="9726" width="10" style="506" customWidth="1"/>
    <col min="9727" max="9727" width="16.125" style="506" customWidth="1"/>
    <col min="9728" max="9728" width="10.875" style="506" customWidth="1"/>
    <col min="9729" max="9729" width="12" style="506" customWidth="1"/>
    <col min="9730" max="9730" width="18.875" style="506" customWidth="1"/>
    <col min="9731" max="9731" width="10.875" style="506" customWidth="1"/>
    <col min="9732" max="9732" width="16.25" style="506" bestFit="1" customWidth="1"/>
    <col min="9733" max="9733" width="12.375" style="506" bestFit="1" customWidth="1"/>
    <col min="9734" max="9734" width="10.875" style="506" customWidth="1"/>
    <col min="9735" max="9735" width="10" style="506" customWidth="1"/>
    <col min="9736" max="9736" width="17.5" style="506" customWidth="1"/>
    <col min="9737" max="9737" width="10.875" style="506" customWidth="1"/>
    <col min="9738" max="9738" width="16" style="506" customWidth="1"/>
    <col min="9739" max="9739" width="12.375" style="506" bestFit="1" customWidth="1"/>
    <col min="9740" max="9956" width="11" style="506"/>
    <col min="9957" max="9957" width="32.75" style="506" customWidth="1"/>
    <col min="9958" max="9958" width="14.5" style="506" customWidth="1"/>
    <col min="9959" max="9959" width="15.625" style="506" bestFit="1" customWidth="1"/>
    <col min="9960" max="9960" width="15.5" style="506" customWidth="1"/>
    <col min="9961" max="9961" width="15.625" style="506" customWidth="1"/>
    <col min="9962" max="9962" width="15.625" style="506" bestFit="1" customWidth="1"/>
    <col min="9963" max="9963" width="15.875" style="506" customWidth="1"/>
    <col min="9964" max="9964" width="14.875" style="506" customWidth="1"/>
    <col min="9965" max="9965" width="14.5" style="506" customWidth="1"/>
    <col min="9966" max="9966" width="15.875" style="506" customWidth="1"/>
    <col min="9967" max="9967" width="12" style="506" bestFit="1" customWidth="1"/>
    <col min="9968" max="9968" width="18.625" style="506" customWidth="1"/>
    <col min="9969" max="9969" width="15.125" style="506" customWidth="1"/>
    <col min="9970" max="9970" width="15.625" style="506" bestFit="1" customWidth="1"/>
    <col min="9971" max="9971" width="16.375" style="506" customWidth="1"/>
    <col min="9972" max="9972" width="13.875" style="506" customWidth="1"/>
    <col min="9973" max="9973" width="18.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75" style="506" customWidth="1"/>
    <col min="9978" max="9978" width="10.875" style="506" customWidth="1"/>
    <col min="9979" max="9979" width="10" style="506" customWidth="1"/>
    <col min="9980" max="9980" width="17.375" style="506" customWidth="1"/>
    <col min="9981" max="9981" width="10.875" style="506" customWidth="1"/>
    <col min="9982" max="9982" width="10" style="506" customWidth="1"/>
    <col min="9983" max="9983" width="16.125" style="506" customWidth="1"/>
    <col min="9984" max="9984" width="10.875" style="506" customWidth="1"/>
    <col min="9985" max="9985" width="12" style="506" customWidth="1"/>
    <col min="9986" max="9986" width="18.875" style="506" customWidth="1"/>
    <col min="9987" max="9987" width="10.875" style="506" customWidth="1"/>
    <col min="9988" max="9988" width="16.25" style="506" bestFit="1" customWidth="1"/>
    <col min="9989" max="9989" width="12.375" style="506" bestFit="1" customWidth="1"/>
    <col min="9990" max="9990" width="10.875" style="506" customWidth="1"/>
    <col min="9991" max="9991" width="10" style="506" customWidth="1"/>
    <col min="9992" max="9992" width="17.5" style="506" customWidth="1"/>
    <col min="9993" max="9993" width="10.875" style="506" customWidth="1"/>
    <col min="9994" max="9994" width="16" style="506" customWidth="1"/>
    <col min="9995" max="9995" width="12.375" style="506" bestFit="1" customWidth="1"/>
    <col min="9996" max="10212" width="11" style="506"/>
    <col min="10213" max="10213" width="32.75" style="506" customWidth="1"/>
    <col min="10214" max="10214" width="14.5" style="506" customWidth="1"/>
    <col min="10215" max="10215" width="15.625" style="506" bestFit="1" customWidth="1"/>
    <col min="10216" max="10216" width="15.5" style="506" customWidth="1"/>
    <col min="10217" max="10217" width="15.625" style="506" customWidth="1"/>
    <col min="10218" max="10218" width="15.625" style="506" bestFit="1" customWidth="1"/>
    <col min="10219" max="10219" width="15.875" style="506" customWidth="1"/>
    <col min="10220" max="10220" width="14.875" style="506" customWidth="1"/>
    <col min="10221" max="10221" width="14.5" style="506" customWidth="1"/>
    <col min="10222" max="10222" width="15.875" style="506" customWidth="1"/>
    <col min="10223" max="10223" width="12" style="506" bestFit="1" customWidth="1"/>
    <col min="10224" max="10224" width="18.625" style="506" customWidth="1"/>
    <col min="10225" max="10225" width="15.125" style="506" customWidth="1"/>
    <col min="10226" max="10226" width="15.625" style="506" bestFit="1" customWidth="1"/>
    <col min="10227" max="10227" width="16.375" style="506" customWidth="1"/>
    <col min="10228" max="10228" width="13.875" style="506" customWidth="1"/>
    <col min="10229" max="10229" width="18.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75" style="506" customWidth="1"/>
    <col min="10234" max="10234" width="10.875" style="506" customWidth="1"/>
    <col min="10235" max="10235" width="10" style="506" customWidth="1"/>
    <col min="10236" max="10236" width="17.375" style="506" customWidth="1"/>
    <col min="10237" max="10237" width="10.875" style="506" customWidth="1"/>
    <col min="10238" max="10238" width="10" style="506" customWidth="1"/>
    <col min="10239" max="10239" width="16.125" style="506" customWidth="1"/>
    <col min="10240" max="10240" width="10.875" style="506" customWidth="1"/>
    <col min="10241" max="10241" width="12" style="506" customWidth="1"/>
    <col min="10242" max="10242" width="18.875" style="506" customWidth="1"/>
    <col min="10243" max="10243" width="10.875" style="506" customWidth="1"/>
    <col min="10244" max="10244" width="16.25" style="506" bestFit="1" customWidth="1"/>
    <col min="10245" max="10245" width="12.375" style="506" bestFit="1" customWidth="1"/>
    <col min="10246" max="10246" width="10.875" style="506" customWidth="1"/>
    <col min="10247" max="10247" width="10" style="506" customWidth="1"/>
    <col min="10248" max="10248" width="17.5" style="506" customWidth="1"/>
    <col min="10249" max="10249" width="10.875" style="506" customWidth="1"/>
    <col min="10250" max="10250" width="16" style="506" customWidth="1"/>
    <col min="10251" max="10251" width="12.375" style="506" bestFit="1" customWidth="1"/>
    <col min="10252" max="10468" width="11" style="506"/>
    <col min="10469" max="10469" width="32.75" style="506" customWidth="1"/>
    <col min="10470" max="10470" width="14.5" style="506" customWidth="1"/>
    <col min="10471" max="10471" width="15.625" style="506" bestFit="1" customWidth="1"/>
    <col min="10472" max="10472" width="15.5" style="506" customWidth="1"/>
    <col min="10473" max="10473" width="15.625" style="506" customWidth="1"/>
    <col min="10474" max="10474" width="15.625" style="506" bestFit="1" customWidth="1"/>
    <col min="10475" max="10475" width="15.875" style="506" customWidth="1"/>
    <col min="10476" max="10476" width="14.875" style="506" customWidth="1"/>
    <col min="10477" max="10477" width="14.5" style="506" customWidth="1"/>
    <col min="10478" max="10478" width="15.875" style="506" customWidth="1"/>
    <col min="10479" max="10479" width="12" style="506" bestFit="1" customWidth="1"/>
    <col min="10480" max="10480" width="18.625" style="506" customWidth="1"/>
    <col min="10481" max="10481" width="15.125" style="506" customWidth="1"/>
    <col min="10482" max="10482" width="15.625" style="506" bestFit="1" customWidth="1"/>
    <col min="10483" max="10483" width="16.375" style="506" customWidth="1"/>
    <col min="10484" max="10484" width="13.875" style="506" customWidth="1"/>
    <col min="10485" max="10485" width="18.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75" style="506" customWidth="1"/>
    <col min="10490" max="10490" width="10.875" style="506" customWidth="1"/>
    <col min="10491" max="10491" width="10" style="506" customWidth="1"/>
    <col min="10492" max="10492" width="17.375" style="506" customWidth="1"/>
    <col min="10493" max="10493" width="10.875" style="506" customWidth="1"/>
    <col min="10494" max="10494" width="10" style="506" customWidth="1"/>
    <col min="10495" max="10495" width="16.125" style="506" customWidth="1"/>
    <col min="10496" max="10496" width="10.875" style="506" customWidth="1"/>
    <col min="10497" max="10497" width="12" style="506" customWidth="1"/>
    <col min="10498" max="10498" width="18.875" style="506" customWidth="1"/>
    <col min="10499" max="10499" width="10.875" style="506" customWidth="1"/>
    <col min="10500" max="10500" width="16.25" style="506" bestFit="1" customWidth="1"/>
    <col min="10501" max="10501" width="12.375" style="506" bestFit="1" customWidth="1"/>
    <col min="10502" max="10502" width="10.875" style="506" customWidth="1"/>
    <col min="10503" max="10503" width="10" style="506" customWidth="1"/>
    <col min="10504" max="10504" width="17.5" style="506" customWidth="1"/>
    <col min="10505" max="10505" width="10.875" style="506" customWidth="1"/>
    <col min="10506" max="10506" width="16" style="506" customWidth="1"/>
    <col min="10507" max="10507" width="12.375" style="506" bestFit="1" customWidth="1"/>
    <col min="10508" max="10724" width="11" style="506"/>
    <col min="10725" max="10725" width="32.75" style="506" customWidth="1"/>
    <col min="10726" max="10726" width="14.5" style="506" customWidth="1"/>
    <col min="10727" max="10727" width="15.625" style="506" bestFit="1" customWidth="1"/>
    <col min="10728" max="10728" width="15.5" style="506" customWidth="1"/>
    <col min="10729" max="10729" width="15.625" style="506" customWidth="1"/>
    <col min="10730" max="10730" width="15.625" style="506" bestFit="1" customWidth="1"/>
    <col min="10731" max="10731" width="15.875" style="506" customWidth="1"/>
    <col min="10732" max="10732" width="14.875" style="506" customWidth="1"/>
    <col min="10733" max="10733" width="14.5" style="506" customWidth="1"/>
    <col min="10734" max="10734" width="15.875" style="506" customWidth="1"/>
    <col min="10735" max="10735" width="12" style="506" bestFit="1" customWidth="1"/>
    <col min="10736" max="10736" width="18.625" style="506" customWidth="1"/>
    <col min="10737" max="10737" width="15.125" style="506" customWidth="1"/>
    <col min="10738" max="10738" width="15.625" style="506" bestFit="1" customWidth="1"/>
    <col min="10739" max="10739" width="16.375" style="506" customWidth="1"/>
    <col min="10740" max="10740" width="13.875" style="506" customWidth="1"/>
    <col min="10741" max="10741" width="18.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75" style="506" customWidth="1"/>
    <col min="10746" max="10746" width="10.875" style="506" customWidth="1"/>
    <col min="10747" max="10747" width="10" style="506" customWidth="1"/>
    <col min="10748" max="10748" width="17.375" style="506" customWidth="1"/>
    <col min="10749" max="10749" width="10.875" style="506" customWidth="1"/>
    <col min="10750" max="10750" width="10" style="506" customWidth="1"/>
    <col min="10751" max="10751" width="16.125" style="506" customWidth="1"/>
    <col min="10752" max="10752" width="10.875" style="506" customWidth="1"/>
    <col min="10753" max="10753" width="12" style="506" customWidth="1"/>
    <col min="10754" max="10754" width="18.875" style="506" customWidth="1"/>
    <col min="10755" max="10755" width="10.875" style="506" customWidth="1"/>
    <col min="10756" max="10756" width="16.25" style="506" bestFit="1" customWidth="1"/>
    <col min="10757" max="10757" width="12.375" style="506" bestFit="1" customWidth="1"/>
    <col min="10758" max="10758" width="10.875" style="506" customWidth="1"/>
    <col min="10759" max="10759" width="10" style="506" customWidth="1"/>
    <col min="10760" max="10760" width="17.5" style="506" customWidth="1"/>
    <col min="10761" max="10761" width="10.875" style="506" customWidth="1"/>
    <col min="10762" max="10762" width="16" style="506" customWidth="1"/>
    <col min="10763" max="10763" width="12.375" style="506" bestFit="1" customWidth="1"/>
    <col min="10764" max="10980" width="11" style="506"/>
    <col min="10981" max="10981" width="32.75" style="506" customWidth="1"/>
    <col min="10982" max="10982" width="14.5" style="506" customWidth="1"/>
    <col min="10983" max="10983" width="15.625" style="506" bestFit="1" customWidth="1"/>
    <col min="10984" max="10984" width="15.5" style="506" customWidth="1"/>
    <col min="10985" max="10985" width="15.625" style="506" customWidth="1"/>
    <col min="10986" max="10986" width="15.625" style="506" bestFit="1" customWidth="1"/>
    <col min="10987" max="10987" width="15.875" style="506" customWidth="1"/>
    <col min="10988" max="10988" width="14.875" style="506" customWidth="1"/>
    <col min="10989" max="10989" width="14.5" style="506" customWidth="1"/>
    <col min="10990" max="10990" width="15.875" style="506" customWidth="1"/>
    <col min="10991" max="10991" width="12" style="506" bestFit="1" customWidth="1"/>
    <col min="10992" max="10992" width="18.625" style="506" customWidth="1"/>
    <col min="10993" max="10993" width="15.125" style="506" customWidth="1"/>
    <col min="10994" max="10994" width="15.625" style="506" bestFit="1" customWidth="1"/>
    <col min="10995" max="10995" width="16.375" style="506" customWidth="1"/>
    <col min="10996" max="10996" width="13.875" style="506" customWidth="1"/>
    <col min="10997" max="10997" width="18.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75" style="506" customWidth="1"/>
    <col min="11002" max="11002" width="10.875" style="506" customWidth="1"/>
    <col min="11003" max="11003" width="10" style="506" customWidth="1"/>
    <col min="11004" max="11004" width="17.375" style="506" customWidth="1"/>
    <col min="11005" max="11005" width="10.875" style="506" customWidth="1"/>
    <col min="11006" max="11006" width="10" style="506" customWidth="1"/>
    <col min="11007" max="11007" width="16.125" style="506" customWidth="1"/>
    <col min="11008" max="11008" width="10.875" style="506" customWidth="1"/>
    <col min="11009" max="11009" width="12" style="506" customWidth="1"/>
    <col min="11010" max="11010" width="18.875" style="506" customWidth="1"/>
    <col min="11011" max="11011" width="10.875" style="506" customWidth="1"/>
    <col min="11012" max="11012" width="16.25" style="506" bestFit="1" customWidth="1"/>
    <col min="11013" max="11013" width="12.375" style="506" bestFit="1" customWidth="1"/>
    <col min="11014" max="11014" width="10.875" style="506" customWidth="1"/>
    <col min="11015" max="11015" width="10" style="506" customWidth="1"/>
    <col min="11016" max="11016" width="17.5" style="506" customWidth="1"/>
    <col min="11017" max="11017" width="10.875" style="506" customWidth="1"/>
    <col min="11018" max="11018" width="16" style="506" customWidth="1"/>
    <col min="11019" max="11019" width="12.375" style="506" bestFit="1" customWidth="1"/>
    <col min="11020" max="11236" width="11" style="506"/>
    <col min="11237" max="11237" width="32.75" style="506" customWidth="1"/>
    <col min="11238" max="11238" width="14.5" style="506" customWidth="1"/>
    <col min="11239" max="11239" width="15.625" style="506" bestFit="1" customWidth="1"/>
    <col min="11240" max="11240" width="15.5" style="506" customWidth="1"/>
    <col min="11241" max="11241" width="15.625" style="506" customWidth="1"/>
    <col min="11242" max="11242" width="15.625" style="506" bestFit="1" customWidth="1"/>
    <col min="11243" max="11243" width="15.875" style="506" customWidth="1"/>
    <col min="11244" max="11244" width="14.875" style="506" customWidth="1"/>
    <col min="11245" max="11245" width="14.5" style="506" customWidth="1"/>
    <col min="11246" max="11246" width="15.875" style="506" customWidth="1"/>
    <col min="11247" max="11247" width="12" style="506" bestFit="1" customWidth="1"/>
    <col min="11248" max="11248" width="18.625" style="506" customWidth="1"/>
    <col min="11249" max="11249" width="15.125" style="506" customWidth="1"/>
    <col min="11250" max="11250" width="15.625" style="506" bestFit="1" customWidth="1"/>
    <col min="11251" max="11251" width="16.375" style="506" customWidth="1"/>
    <col min="11252" max="11252" width="13.875" style="506" customWidth="1"/>
    <col min="11253" max="11253" width="18.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75" style="506" customWidth="1"/>
    <col min="11258" max="11258" width="10.875" style="506" customWidth="1"/>
    <col min="11259" max="11259" width="10" style="506" customWidth="1"/>
    <col min="11260" max="11260" width="17.375" style="506" customWidth="1"/>
    <col min="11261" max="11261" width="10.875" style="506" customWidth="1"/>
    <col min="11262" max="11262" width="10" style="506" customWidth="1"/>
    <col min="11263" max="11263" width="16.125" style="506" customWidth="1"/>
    <col min="11264" max="11264" width="10.875" style="506" customWidth="1"/>
    <col min="11265" max="11265" width="12" style="506" customWidth="1"/>
    <col min="11266" max="11266" width="18.875" style="506" customWidth="1"/>
    <col min="11267" max="11267" width="10.875" style="506" customWidth="1"/>
    <col min="11268" max="11268" width="16.25" style="506" bestFit="1" customWidth="1"/>
    <col min="11269" max="11269" width="12.375" style="506" bestFit="1" customWidth="1"/>
    <col min="11270" max="11270" width="10.875" style="506" customWidth="1"/>
    <col min="11271" max="11271" width="10" style="506" customWidth="1"/>
    <col min="11272" max="11272" width="17.5" style="506" customWidth="1"/>
    <col min="11273" max="11273" width="10.875" style="506" customWidth="1"/>
    <col min="11274" max="11274" width="16" style="506" customWidth="1"/>
    <col min="11275" max="11275" width="12.375" style="506" bestFit="1" customWidth="1"/>
    <col min="11276" max="11492" width="11" style="506"/>
    <col min="11493" max="11493" width="32.75" style="506" customWidth="1"/>
    <col min="11494" max="11494" width="14.5" style="506" customWidth="1"/>
    <col min="11495" max="11495" width="15.625" style="506" bestFit="1" customWidth="1"/>
    <col min="11496" max="11496" width="15.5" style="506" customWidth="1"/>
    <col min="11497" max="11497" width="15.625" style="506" customWidth="1"/>
    <col min="11498" max="11498" width="15.625" style="506" bestFit="1" customWidth="1"/>
    <col min="11499" max="11499" width="15.875" style="506" customWidth="1"/>
    <col min="11500" max="11500" width="14.875" style="506" customWidth="1"/>
    <col min="11501" max="11501" width="14.5" style="506" customWidth="1"/>
    <col min="11502" max="11502" width="15.875" style="506" customWidth="1"/>
    <col min="11503" max="11503" width="12" style="506" bestFit="1" customWidth="1"/>
    <col min="11504" max="11504" width="18.625" style="506" customWidth="1"/>
    <col min="11505" max="11505" width="15.125" style="506" customWidth="1"/>
    <col min="11506" max="11506" width="15.625" style="506" bestFit="1" customWidth="1"/>
    <col min="11507" max="11507" width="16.375" style="506" customWidth="1"/>
    <col min="11508" max="11508" width="13.875" style="506" customWidth="1"/>
    <col min="11509" max="11509" width="18.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75" style="506" customWidth="1"/>
    <col min="11514" max="11514" width="10.875" style="506" customWidth="1"/>
    <col min="11515" max="11515" width="10" style="506" customWidth="1"/>
    <col min="11516" max="11516" width="17.375" style="506" customWidth="1"/>
    <col min="11517" max="11517" width="10.875" style="506" customWidth="1"/>
    <col min="11518" max="11518" width="10" style="506" customWidth="1"/>
    <col min="11519" max="11519" width="16.125" style="506" customWidth="1"/>
    <col min="11520" max="11520" width="10.875" style="506" customWidth="1"/>
    <col min="11521" max="11521" width="12" style="506" customWidth="1"/>
    <col min="11522" max="11522" width="18.875" style="506" customWidth="1"/>
    <col min="11523" max="11523" width="10.875" style="506" customWidth="1"/>
    <col min="11524" max="11524" width="16.25" style="506" bestFit="1" customWidth="1"/>
    <col min="11525" max="11525" width="12.375" style="506" bestFit="1" customWidth="1"/>
    <col min="11526" max="11526" width="10.875" style="506" customWidth="1"/>
    <col min="11527" max="11527" width="10" style="506" customWidth="1"/>
    <col min="11528" max="11528" width="17.5" style="506" customWidth="1"/>
    <col min="11529" max="11529" width="10.875" style="506" customWidth="1"/>
    <col min="11530" max="11530" width="16" style="506" customWidth="1"/>
    <col min="11531" max="11531" width="12.375" style="506" bestFit="1" customWidth="1"/>
    <col min="11532" max="11748" width="11" style="506"/>
    <col min="11749" max="11749" width="32.75" style="506" customWidth="1"/>
    <col min="11750" max="11750" width="14.5" style="506" customWidth="1"/>
    <col min="11751" max="11751" width="15.625" style="506" bestFit="1" customWidth="1"/>
    <col min="11752" max="11752" width="15.5" style="506" customWidth="1"/>
    <col min="11753" max="11753" width="15.625" style="506" customWidth="1"/>
    <col min="11754" max="11754" width="15.625" style="506" bestFit="1" customWidth="1"/>
    <col min="11755" max="11755" width="15.875" style="506" customWidth="1"/>
    <col min="11756" max="11756" width="14.875" style="506" customWidth="1"/>
    <col min="11757" max="11757" width="14.5" style="506" customWidth="1"/>
    <col min="11758" max="11758" width="15.875" style="506" customWidth="1"/>
    <col min="11759" max="11759" width="12" style="506" bestFit="1" customWidth="1"/>
    <col min="11760" max="11760" width="18.625" style="506" customWidth="1"/>
    <col min="11761" max="11761" width="15.125" style="506" customWidth="1"/>
    <col min="11762" max="11762" width="15.625" style="506" bestFit="1" customWidth="1"/>
    <col min="11763" max="11763" width="16.375" style="506" customWidth="1"/>
    <col min="11764" max="11764" width="13.875" style="506" customWidth="1"/>
    <col min="11765" max="11765" width="18.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75" style="506" customWidth="1"/>
    <col min="11770" max="11770" width="10.875" style="506" customWidth="1"/>
    <col min="11771" max="11771" width="10" style="506" customWidth="1"/>
    <col min="11772" max="11772" width="17.375" style="506" customWidth="1"/>
    <col min="11773" max="11773" width="10.875" style="506" customWidth="1"/>
    <col min="11774" max="11774" width="10" style="506" customWidth="1"/>
    <col min="11775" max="11775" width="16.125" style="506" customWidth="1"/>
    <col min="11776" max="11776" width="10.875" style="506" customWidth="1"/>
    <col min="11777" max="11777" width="12" style="506" customWidth="1"/>
    <col min="11778" max="11778" width="18.875" style="506" customWidth="1"/>
    <col min="11779" max="11779" width="10.875" style="506" customWidth="1"/>
    <col min="11780" max="11780" width="16.25" style="506" bestFit="1" customWidth="1"/>
    <col min="11781" max="11781" width="12.375" style="506" bestFit="1" customWidth="1"/>
    <col min="11782" max="11782" width="10.875" style="506" customWidth="1"/>
    <col min="11783" max="11783" width="10" style="506" customWidth="1"/>
    <col min="11784" max="11784" width="17.5" style="506" customWidth="1"/>
    <col min="11785" max="11785" width="10.875" style="506" customWidth="1"/>
    <col min="11786" max="11786" width="16" style="506" customWidth="1"/>
    <col min="11787" max="11787" width="12.375" style="506" bestFit="1" customWidth="1"/>
    <col min="11788" max="12004" width="11" style="506"/>
    <col min="12005" max="12005" width="32.75" style="506" customWidth="1"/>
    <col min="12006" max="12006" width="14.5" style="506" customWidth="1"/>
    <col min="12007" max="12007" width="15.625" style="506" bestFit="1" customWidth="1"/>
    <col min="12008" max="12008" width="15.5" style="506" customWidth="1"/>
    <col min="12009" max="12009" width="15.625" style="506" customWidth="1"/>
    <col min="12010" max="12010" width="15.625" style="506" bestFit="1" customWidth="1"/>
    <col min="12011" max="12011" width="15.875" style="506" customWidth="1"/>
    <col min="12012" max="12012" width="14.875" style="506" customWidth="1"/>
    <col min="12013" max="12013" width="14.5" style="506" customWidth="1"/>
    <col min="12014" max="12014" width="15.875" style="506" customWidth="1"/>
    <col min="12015" max="12015" width="12" style="506" bestFit="1" customWidth="1"/>
    <col min="12016" max="12016" width="18.625" style="506" customWidth="1"/>
    <col min="12017" max="12017" width="15.125" style="506" customWidth="1"/>
    <col min="12018" max="12018" width="15.625" style="506" bestFit="1" customWidth="1"/>
    <col min="12019" max="12019" width="16.375" style="506" customWidth="1"/>
    <col min="12020" max="12020" width="13.875" style="506" customWidth="1"/>
    <col min="12021" max="12021" width="18.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75" style="506" customWidth="1"/>
    <col min="12026" max="12026" width="10.875" style="506" customWidth="1"/>
    <col min="12027" max="12027" width="10" style="506" customWidth="1"/>
    <col min="12028" max="12028" width="17.375" style="506" customWidth="1"/>
    <col min="12029" max="12029" width="10.875" style="506" customWidth="1"/>
    <col min="12030" max="12030" width="10" style="506" customWidth="1"/>
    <col min="12031" max="12031" width="16.125" style="506" customWidth="1"/>
    <col min="12032" max="12032" width="10.875" style="506" customWidth="1"/>
    <col min="12033" max="12033" width="12" style="506" customWidth="1"/>
    <col min="12034" max="12034" width="18.875" style="506" customWidth="1"/>
    <col min="12035" max="12035" width="10.875" style="506" customWidth="1"/>
    <col min="12036" max="12036" width="16.25" style="506" bestFit="1" customWidth="1"/>
    <col min="12037" max="12037" width="12.375" style="506" bestFit="1" customWidth="1"/>
    <col min="12038" max="12038" width="10.875" style="506" customWidth="1"/>
    <col min="12039" max="12039" width="10" style="506" customWidth="1"/>
    <col min="12040" max="12040" width="17.5" style="506" customWidth="1"/>
    <col min="12041" max="12041" width="10.875" style="506" customWidth="1"/>
    <col min="12042" max="12042" width="16" style="506" customWidth="1"/>
    <col min="12043" max="12043" width="12.375" style="506" bestFit="1" customWidth="1"/>
    <col min="12044" max="12260" width="11" style="506"/>
    <col min="12261" max="12261" width="32.75" style="506" customWidth="1"/>
    <col min="12262" max="12262" width="14.5" style="506" customWidth="1"/>
    <col min="12263" max="12263" width="15.625" style="506" bestFit="1" customWidth="1"/>
    <col min="12264" max="12264" width="15.5" style="506" customWidth="1"/>
    <col min="12265" max="12265" width="15.625" style="506" customWidth="1"/>
    <col min="12266" max="12266" width="15.625" style="506" bestFit="1" customWidth="1"/>
    <col min="12267" max="12267" width="15.875" style="506" customWidth="1"/>
    <col min="12268" max="12268" width="14.875" style="506" customWidth="1"/>
    <col min="12269" max="12269" width="14.5" style="506" customWidth="1"/>
    <col min="12270" max="12270" width="15.875" style="506" customWidth="1"/>
    <col min="12271" max="12271" width="12" style="506" bestFit="1" customWidth="1"/>
    <col min="12272" max="12272" width="18.625" style="506" customWidth="1"/>
    <col min="12273" max="12273" width="15.125" style="506" customWidth="1"/>
    <col min="12274" max="12274" width="15.625" style="506" bestFit="1" customWidth="1"/>
    <col min="12275" max="12275" width="16.375" style="506" customWidth="1"/>
    <col min="12276" max="12276" width="13.875" style="506" customWidth="1"/>
    <col min="12277" max="12277" width="18.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75" style="506" customWidth="1"/>
    <col min="12282" max="12282" width="10.875" style="506" customWidth="1"/>
    <col min="12283" max="12283" width="10" style="506" customWidth="1"/>
    <col min="12284" max="12284" width="17.375" style="506" customWidth="1"/>
    <col min="12285" max="12285" width="10.875" style="506" customWidth="1"/>
    <col min="12286" max="12286" width="10" style="506" customWidth="1"/>
    <col min="12287" max="12287" width="16.125" style="506" customWidth="1"/>
    <col min="12288" max="12288" width="10.875" style="506" customWidth="1"/>
    <col min="12289" max="12289" width="12" style="506" customWidth="1"/>
    <col min="12290" max="12290" width="18.875" style="506" customWidth="1"/>
    <col min="12291" max="12291" width="10.875" style="506" customWidth="1"/>
    <col min="12292" max="12292" width="16.25" style="506" bestFit="1" customWidth="1"/>
    <col min="12293" max="12293" width="12.375" style="506" bestFit="1" customWidth="1"/>
    <col min="12294" max="12294" width="10.875" style="506" customWidth="1"/>
    <col min="12295" max="12295" width="10" style="506" customWidth="1"/>
    <col min="12296" max="12296" width="17.5" style="506" customWidth="1"/>
    <col min="12297" max="12297" width="10.875" style="506" customWidth="1"/>
    <col min="12298" max="12298" width="16" style="506" customWidth="1"/>
    <col min="12299" max="12299" width="12.375" style="506" bestFit="1" customWidth="1"/>
    <col min="12300" max="12516" width="11" style="506"/>
    <col min="12517" max="12517" width="32.75" style="506" customWidth="1"/>
    <col min="12518" max="12518" width="14.5" style="506" customWidth="1"/>
    <col min="12519" max="12519" width="15.625" style="506" bestFit="1" customWidth="1"/>
    <col min="12520" max="12520" width="15.5" style="506" customWidth="1"/>
    <col min="12521" max="12521" width="15.625" style="506" customWidth="1"/>
    <col min="12522" max="12522" width="15.625" style="506" bestFit="1" customWidth="1"/>
    <col min="12523" max="12523" width="15.875" style="506" customWidth="1"/>
    <col min="12524" max="12524" width="14.875" style="506" customWidth="1"/>
    <col min="12525" max="12525" width="14.5" style="506" customWidth="1"/>
    <col min="12526" max="12526" width="15.875" style="506" customWidth="1"/>
    <col min="12527" max="12527" width="12" style="506" bestFit="1" customWidth="1"/>
    <col min="12528" max="12528" width="18.625" style="506" customWidth="1"/>
    <col min="12529" max="12529" width="15.125" style="506" customWidth="1"/>
    <col min="12530" max="12530" width="15.625" style="506" bestFit="1" customWidth="1"/>
    <col min="12531" max="12531" width="16.375" style="506" customWidth="1"/>
    <col min="12532" max="12532" width="13.875" style="506" customWidth="1"/>
    <col min="12533" max="12533" width="18.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75" style="506" customWidth="1"/>
    <col min="12538" max="12538" width="10.875" style="506" customWidth="1"/>
    <col min="12539" max="12539" width="10" style="506" customWidth="1"/>
    <col min="12540" max="12540" width="17.375" style="506" customWidth="1"/>
    <col min="12541" max="12541" width="10.875" style="506" customWidth="1"/>
    <col min="12542" max="12542" width="10" style="506" customWidth="1"/>
    <col min="12543" max="12543" width="16.125" style="506" customWidth="1"/>
    <col min="12544" max="12544" width="10.875" style="506" customWidth="1"/>
    <col min="12545" max="12545" width="12" style="506" customWidth="1"/>
    <col min="12546" max="12546" width="18.875" style="506" customWidth="1"/>
    <col min="12547" max="12547" width="10.875" style="506" customWidth="1"/>
    <col min="12548" max="12548" width="16.25" style="506" bestFit="1" customWidth="1"/>
    <col min="12549" max="12549" width="12.375" style="506" bestFit="1" customWidth="1"/>
    <col min="12550" max="12550" width="10.875" style="506" customWidth="1"/>
    <col min="12551" max="12551" width="10" style="506" customWidth="1"/>
    <col min="12552" max="12552" width="17.5" style="506" customWidth="1"/>
    <col min="12553" max="12553" width="10.875" style="506" customWidth="1"/>
    <col min="12554" max="12554" width="16" style="506" customWidth="1"/>
    <col min="12555" max="12555" width="12.375" style="506" bestFit="1" customWidth="1"/>
    <col min="12556" max="12772" width="11" style="506"/>
    <col min="12773" max="12773" width="32.75" style="506" customWidth="1"/>
    <col min="12774" max="12774" width="14.5" style="506" customWidth="1"/>
    <col min="12775" max="12775" width="15.625" style="506" bestFit="1" customWidth="1"/>
    <col min="12776" max="12776" width="15.5" style="506" customWidth="1"/>
    <col min="12777" max="12777" width="15.625" style="506" customWidth="1"/>
    <col min="12778" max="12778" width="15.625" style="506" bestFit="1" customWidth="1"/>
    <col min="12779" max="12779" width="15.875" style="506" customWidth="1"/>
    <col min="12780" max="12780" width="14.875" style="506" customWidth="1"/>
    <col min="12781" max="12781" width="14.5" style="506" customWidth="1"/>
    <col min="12782" max="12782" width="15.875" style="506" customWidth="1"/>
    <col min="12783" max="12783" width="12" style="506" bestFit="1" customWidth="1"/>
    <col min="12784" max="12784" width="18.625" style="506" customWidth="1"/>
    <col min="12785" max="12785" width="15.125" style="506" customWidth="1"/>
    <col min="12786" max="12786" width="15.625" style="506" bestFit="1" customWidth="1"/>
    <col min="12787" max="12787" width="16.375" style="506" customWidth="1"/>
    <col min="12788" max="12788" width="13.875" style="506" customWidth="1"/>
    <col min="12789" max="12789" width="18.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75" style="506" customWidth="1"/>
    <col min="12794" max="12794" width="10.875" style="506" customWidth="1"/>
    <col min="12795" max="12795" width="10" style="506" customWidth="1"/>
    <col min="12796" max="12796" width="17.375" style="506" customWidth="1"/>
    <col min="12797" max="12797" width="10.875" style="506" customWidth="1"/>
    <col min="12798" max="12798" width="10" style="506" customWidth="1"/>
    <col min="12799" max="12799" width="16.125" style="506" customWidth="1"/>
    <col min="12800" max="12800" width="10.875" style="506" customWidth="1"/>
    <col min="12801" max="12801" width="12" style="506" customWidth="1"/>
    <col min="12802" max="12802" width="18.875" style="506" customWidth="1"/>
    <col min="12803" max="12803" width="10.875" style="506" customWidth="1"/>
    <col min="12804" max="12804" width="16.25" style="506" bestFit="1" customWidth="1"/>
    <col min="12805" max="12805" width="12.375" style="506" bestFit="1" customWidth="1"/>
    <col min="12806" max="12806" width="10.875" style="506" customWidth="1"/>
    <col min="12807" max="12807" width="10" style="506" customWidth="1"/>
    <col min="12808" max="12808" width="17.5" style="506" customWidth="1"/>
    <col min="12809" max="12809" width="10.875" style="506" customWidth="1"/>
    <col min="12810" max="12810" width="16" style="506" customWidth="1"/>
    <col min="12811" max="12811" width="12.375" style="506" bestFit="1" customWidth="1"/>
    <col min="12812" max="13028" width="11" style="506"/>
    <col min="13029" max="13029" width="32.75" style="506" customWidth="1"/>
    <col min="13030" max="13030" width="14.5" style="506" customWidth="1"/>
    <col min="13031" max="13031" width="15.625" style="506" bestFit="1" customWidth="1"/>
    <col min="13032" max="13032" width="15.5" style="506" customWidth="1"/>
    <col min="13033" max="13033" width="15.625" style="506" customWidth="1"/>
    <col min="13034" max="13034" width="15.625" style="506" bestFit="1" customWidth="1"/>
    <col min="13035" max="13035" width="15.875" style="506" customWidth="1"/>
    <col min="13036" max="13036" width="14.875" style="506" customWidth="1"/>
    <col min="13037" max="13037" width="14.5" style="506" customWidth="1"/>
    <col min="13038" max="13038" width="15.875" style="506" customWidth="1"/>
    <col min="13039" max="13039" width="12" style="506" bestFit="1" customWidth="1"/>
    <col min="13040" max="13040" width="18.625" style="506" customWidth="1"/>
    <col min="13041" max="13041" width="15.125" style="506" customWidth="1"/>
    <col min="13042" max="13042" width="15.625" style="506" bestFit="1" customWidth="1"/>
    <col min="13043" max="13043" width="16.375" style="506" customWidth="1"/>
    <col min="13044" max="13044" width="13.875" style="506" customWidth="1"/>
    <col min="13045" max="13045" width="18.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75" style="506" customWidth="1"/>
    <col min="13050" max="13050" width="10.875" style="506" customWidth="1"/>
    <col min="13051" max="13051" width="10" style="506" customWidth="1"/>
    <col min="13052" max="13052" width="17.375" style="506" customWidth="1"/>
    <col min="13053" max="13053" width="10.875" style="506" customWidth="1"/>
    <col min="13054" max="13054" width="10" style="506" customWidth="1"/>
    <col min="13055" max="13055" width="16.125" style="506" customWidth="1"/>
    <col min="13056" max="13056" width="10.875" style="506" customWidth="1"/>
    <col min="13057" max="13057" width="12" style="506" customWidth="1"/>
    <col min="13058" max="13058" width="18.875" style="506" customWidth="1"/>
    <col min="13059" max="13059" width="10.875" style="506" customWidth="1"/>
    <col min="13060" max="13060" width="16.25" style="506" bestFit="1" customWidth="1"/>
    <col min="13061" max="13061" width="12.375" style="506" bestFit="1" customWidth="1"/>
    <col min="13062" max="13062" width="10.875" style="506" customWidth="1"/>
    <col min="13063" max="13063" width="10" style="506" customWidth="1"/>
    <col min="13064" max="13064" width="17.5" style="506" customWidth="1"/>
    <col min="13065" max="13065" width="10.875" style="506" customWidth="1"/>
    <col min="13066" max="13066" width="16" style="506" customWidth="1"/>
    <col min="13067" max="13067" width="12.375" style="506" bestFit="1" customWidth="1"/>
    <col min="13068" max="13284" width="11" style="506"/>
    <col min="13285" max="13285" width="32.75" style="506" customWidth="1"/>
    <col min="13286" max="13286" width="14.5" style="506" customWidth="1"/>
    <col min="13287" max="13287" width="15.625" style="506" bestFit="1" customWidth="1"/>
    <col min="13288" max="13288" width="15.5" style="506" customWidth="1"/>
    <col min="13289" max="13289" width="15.625" style="506" customWidth="1"/>
    <col min="13290" max="13290" width="15.625" style="506" bestFit="1" customWidth="1"/>
    <col min="13291" max="13291" width="15.875" style="506" customWidth="1"/>
    <col min="13292" max="13292" width="14.875" style="506" customWidth="1"/>
    <col min="13293" max="13293" width="14.5" style="506" customWidth="1"/>
    <col min="13294" max="13294" width="15.875" style="506" customWidth="1"/>
    <col min="13295" max="13295" width="12" style="506" bestFit="1" customWidth="1"/>
    <col min="13296" max="13296" width="18.625" style="506" customWidth="1"/>
    <col min="13297" max="13297" width="15.125" style="506" customWidth="1"/>
    <col min="13298" max="13298" width="15.625" style="506" bestFit="1" customWidth="1"/>
    <col min="13299" max="13299" width="16.375" style="506" customWidth="1"/>
    <col min="13300" max="13300" width="13.875" style="506" customWidth="1"/>
    <col min="13301" max="13301" width="18.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75" style="506" customWidth="1"/>
    <col min="13306" max="13306" width="10.875" style="506" customWidth="1"/>
    <col min="13307" max="13307" width="10" style="506" customWidth="1"/>
    <col min="13308" max="13308" width="17.375" style="506" customWidth="1"/>
    <col min="13309" max="13309" width="10.875" style="506" customWidth="1"/>
    <col min="13310" max="13310" width="10" style="506" customWidth="1"/>
    <col min="13311" max="13311" width="16.125" style="506" customWidth="1"/>
    <col min="13312" max="13312" width="10.875" style="506" customWidth="1"/>
    <col min="13313" max="13313" width="12" style="506" customWidth="1"/>
    <col min="13314" max="13314" width="18.875" style="506" customWidth="1"/>
    <col min="13315" max="13315" width="10.875" style="506" customWidth="1"/>
    <col min="13316" max="13316" width="16.25" style="506" bestFit="1" customWidth="1"/>
    <col min="13317" max="13317" width="12.375" style="506" bestFit="1" customWidth="1"/>
    <col min="13318" max="13318" width="10.875" style="506" customWidth="1"/>
    <col min="13319" max="13319" width="10" style="506" customWidth="1"/>
    <col min="13320" max="13320" width="17.5" style="506" customWidth="1"/>
    <col min="13321" max="13321" width="10.875" style="506" customWidth="1"/>
    <col min="13322" max="13322" width="16" style="506" customWidth="1"/>
    <col min="13323" max="13323" width="12.375" style="506" bestFit="1" customWidth="1"/>
    <col min="13324" max="13540" width="11" style="506"/>
    <col min="13541" max="13541" width="32.75" style="506" customWidth="1"/>
    <col min="13542" max="13542" width="14.5" style="506" customWidth="1"/>
    <col min="13543" max="13543" width="15.625" style="506" bestFit="1" customWidth="1"/>
    <col min="13544" max="13544" width="15.5" style="506" customWidth="1"/>
    <col min="13545" max="13545" width="15.625" style="506" customWidth="1"/>
    <col min="13546" max="13546" width="15.625" style="506" bestFit="1" customWidth="1"/>
    <col min="13547" max="13547" width="15.875" style="506" customWidth="1"/>
    <col min="13548" max="13548" width="14.875" style="506" customWidth="1"/>
    <col min="13549" max="13549" width="14.5" style="506" customWidth="1"/>
    <col min="13550" max="13550" width="15.875" style="506" customWidth="1"/>
    <col min="13551" max="13551" width="12" style="506" bestFit="1" customWidth="1"/>
    <col min="13552" max="13552" width="18.625" style="506" customWidth="1"/>
    <col min="13553" max="13553" width="15.125" style="506" customWidth="1"/>
    <col min="13554" max="13554" width="15.625" style="506" bestFit="1" customWidth="1"/>
    <col min="13555" max="13555" width="16.375" style="506" customWidth="1"/>
    <col min="13556" max="13556" width="13.875" style="506" customWidth="1"/>
    <col min="13557" max="13557" width="18.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75" style="506" customWidth="1"/>
    <col min="13562" max="13562" width="10.875" style="506" customWidth="1"/>
    <col min="13563" max="13563" width="10" style="506" customWidth="1"/>
    <col min="13564" max="13564" width="17.375" style="506" customWidth="1"/>
    <col min="13565" max="13565" width="10.875" style="506" customWidth="1"/>
    <col min="13566" max="13566" width="10" style="506" customWidth="1"/>
    <col min="13567" max="13567" width="16.125" style="506" customWidth="1"/>
    <col min="13568" max="13568" width="10.875" style="506" customWidth="1"/>
    <col min="13569" max="13569" width="12" style="506" customWidth="1"/>
    <col min="13570" max="13570" width="18.875" style="506" customWidth="1"/>
    <col min="13571" max="13571" width="10.875" style="506" customWidth="1"/>
    <col min="13572" max="13572" width="16.25" style="506" bestFit="1" customWidth="1"/>
    <col min="13573" max="13573" width="12.375" style="506" bestFit="1" customWidth="1"/>
    <col min="13574" max="13574" width="10.875" style="506" customWidth="1"/>
    <col min="13575" max="13575" width="10" style="506" customWidth="1"/>
    <col min="13576" max="13576" width="17.5" style="506" customWidth="1"/>
    <col min="13577" max="13577" width="10.875" style="506" customWidth="1"/>
    <col min="13578" max="13578" width="16" style="506" customWidth="1"/>
    <col min="13579" max="13579" width="12.375" style="506" bestFit="1" customWidth="1"/>
    <col min="13580" max="13796" width="11" style="506"/>
    <col min="13797" max="13797" width="32.75" style="506" customWidth="1"/>
    <col min="13798" max="13798" width="14.5" style="506" customWidth="1"/>
    <col min="13799" max="13799" width="15.625" style="506" bestFit="1" customWidth="1"/>
    <col min="13800" max="13800" width="15.5" style="506" customWidth="1"/>
    <col min="13801" max="13801" width="15.625" style="506" customWidth="1"/>
    <col min="13802" max="13802" width="15.625" style="506" bestFit="1" customWidth="1"/>
    <col min="13803" max="13803" width="15.875" style="506" customWidth="1"/>
    <col min="13804" max="13804" width="14.875" style="506" customWidth="1"/>
    <col min="13805" max="13805" width="14.5" style="506" customWidth="1"/>
    <col min="13806" max="13806" width="15.875" style="506" customWidth="1"/>
    <col min="13807" max="13807" width="12" style="506" bestFit="1" customWidth="1"/>
    <col min="13808" max="13808" width="18.625" style="506" customWidth="1"/>
    <col min="13809" max="13809" width="15.125" style="506" customWidth="1"/>
    <col min="13810" max="13810" width="15.625" style="506" bestFit="1" customWidth="1"/>
    <col min="13811" max="13811" width="16.375" style="506" customWidth="1"/>
    <col min="13812" max="13812" width="13.875" style="506" customWidth="1"/>
    <col min="13813" max="13813" width="18.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75" style="506" customWidth="1"/>
    <col min="13818" max="13818" width="10.875" style="506" customWidth="1"/>
    <col min="13819" max="13819" width="10" style="506" customWidth="1"/>
    <col min="13820" max="13820" width="17.375" style="506" customWidth="1"/>
    <col min="13821" max="13821" width="10.875" style="506" customWidth="1"/>
    <col min="13822" max="13822" width="10" style="506" customWidth="1"/>
    <col min="13823" max="13823" width="16.125" style="506" customWidth="1"/>
    <col min="13824" max="13824" width="10.875" style="506" customWidth="1"/>
    <col min="13825" max="13825" width="12" style="506" customWidth="1"/>
    <col min="13826" max="13826" width="18.875" style="506" customWidth="1"/>
    <col min="13827" max="13827" width="10.875" style="506" customWidth="1"/>
    <col min="13828" max="13828" width="16.25" style="506" bestFit="1" customWidth="1"/>
    <col min="13829" max="13829" width="12.375" style="506" bestFit="1" customWidth="1"/>
    <col min="13830" max="13830" width="10.875" style="506" customWidth="1"/>
    <col min="13831" max="13831" width="10" style="506" customWidth="1"/>
    <col min="13832" max="13832" width="17.5" style="506" customWidth="1"/>
    <col min="13833" max="13833" width="10.875" style="506" customWidth="1"/>
    <col min="13834" max="13834" width="16" style="506" customWidth="1"/>
    <col min="13835" max="13835" width="12.375" style="506" bestFit="1" customWidth="1"/>
    <col min="13836" max="14052" width="11" style="506"/>
    <col min="14053" max="14053" width="32.75" style="506" customWidth="1"/>
    <col min="14054" max="14054" width="14.5" style="506" customWidth="1"/>
    <col min="14055" max="14055" width="15.625" style="506" bestFit="1" customWidth="1"/>
    <col min="14056" max="14056" width="15.5" style="506" customWidth="1"/>
    <col min="14057" max="14057" width="15.625" style="506" customWidth="1"/>
    <col min="14058" max="14058" width="15.625" style="506" bestFit="1" customWidth="1"/>
    <col min="14059" max="14059" width="15.875" style="506" customWidth="1"/>
    <col min="14060" max="14060" width="14.875" style="506" customWidth="1"/>
    <col min="14061" max="14061" width="14.5" style="506" customWidth="1"/>
    <col min="14062" max="14062" width="15.875" style="506" customWidth="1"/>
    <col min="14063" max="14063" width="12" style="506" bestFit="1" customWidth="1"/>
    <col min="14064" max="14064" width="18.625" style="506" customWidth="1"/>
    <col min="14065" max="14065" width="15.125" style="506" customWidth="1"/>
    <col min="14066" max="14066" width="15.625" style="506" bestFit="1" customWidth="1"/>
    <col min="14067" max="14067" width="16.375" style="506" customWidth="1"/>
    <col min="14068" max="14068" width="13.875" style="506" customWidth="1"/>
    <col min="14069" max="14069" width="18.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75" style="506" customWidth="1"/>
    <col min="14074" max="14074" width="10.875" style="506" customWidth="1"/>
    <col min="14075" max="14075" width="10" style="506" customWidth="1"/>
    <col min="14076" max="14076" width="17.375" style="506" customWidth="1"/>
    <col min="14077" max="14077" width="10.875" style="506" customWidth="1"/>
    <col min="14078" max="14078" width="10" style="506" customWidth="1"/>
    <col min="14079" max="14079" width="16.125" style="506" customWidth="1"/>
    <col min="14080" max="14080" width="10.875" style="506" customWidth="1"/>
    <col min="14081" max="14081" width="12" style="506" customWidth="1"/>
    <col min="14082" max="14082" width="18.875" style="506" customWidth="1"/>
    <col min="14083" max="14083" width="10.875" style="506" customWidth="1"/>
    <col min="14084" max="14084" width="16.25" style="506" bestFit="1" customWidth="1"/>
    <col min="14085" max="14085" width="12.375" style="506" bestFit="1" customWidth="1"/>
    <col min="14086" max="14086" width="10.875" style="506" customWidth="1"/>
    <col min="14087" max="14087" width="10" style="506" customWidth="1"/>
    <col min="14088" max="14088" width="17.5" style="506" customWidth="1"/>
    <col min="14089" max="14089" width="10.875" style="506" customWidth="1"/>
    <col min="14090" max="14090" width="16" style="506" customWidth="1"/>
    <col min="14091" max="14091" width="12.375" style="506" bestFit="1" customWidth="1"/>
    <col min="14092" max="14308" width="11" style="506"/>
    <col min="14309" max="14309" width="32.75" style="506" customWidth="1"/>
    <col min="14310" max="14310" width="14.5" style="506" customWidth="1"/>
    <col min="14311" max="14311" width="15.625" style="506" bestFit="1" customWidth="1"/>
    <col min="14312" max="14312" width="15.5" style="506" customWidth="1"/>
    <col min="14313" max="14313" width="15.625" style="506" customWidth="1"/>
    <col min="14314" max="14314" width="15.625" style="506" bestFit="1" customWidth="1"/>
    <col min="14315" max="14315" width="15.875" style="506" customWidth="1"/>
    <col min="14316" max="14316" width="14.875" style="506" customWidth="1"/>
    <col min="14317" max="14317" width="14.5" style="506" customWidth="1"/>
    <col min="14318" max="14318" width="15.875" style="506" customWidth="1"/>
    <col min="14319" max="14319" width="12" style="506" bestFit="1" customWidth="1"/>
    <col min="14320" max="14320" width="18.625" style="506" customWidth="1"/>
    <col min="14321" max="14321" width="15.125" style="506" customWidth="1"/>
    <col min="14322" max="14322" width="15.625" style="506" bestFit="1" customWidth="1"/>
    <col min="14323" max="14323" width="16.375" style="506" customWidth="1"/>
    <col min="14324" max="14324" width="13.875" style="506" customWidth="1"/>
    <col min="14325" max="14325" width="18.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75" style="506" customWidth="1"/>
    <col min="14330" max="14330" width="10.875" style="506" customWidth="1"/>
    <col min="14331" max="14331" width="10" style="506" customWidth="1"/>
    <col min="14332" max="14332" width="17.375" style="506" customWidth="1"/>
    <col min="14333" max="14333" width="10.875" style="506" customWidth="1"/>
    <col min="14334" max="14334" width="10" style="506" customWidth="1"/>
    <col min="14335" max="14335" width="16.125" style="506" customWidth="1"/>
    <col min="14336" max="14336" width="10.875" style="506" customWidth="1"/>
    <col min="14337" max="14337" width="12" style="506" customWidth="1"/>
    <col min="14338" max="14338" width="18.875" style="506" customWidth="1"/>
    <col min="14339" max="14339" width="10.875" style="506" customWidth="1"/>
    <col min="14340" max="14340" width="16.25" style="506" bestFit="1" customWidth="1"/>
    <col min="14341" max="14341" width="12.375" style="506" bestFit="1" customWidth="1"/>
    <col min="14342" max="14342" width="10.875" style="506" customWidth="1"/>
    <col min="14343" max="14343" width="10" style="506" customWidth="1"/>
    <col min="14344" max="14344" width="17.5" style="506" customWidth="1"/>
    <col min="14345" max="14345" width="10.875" style="506" customWidth="1"/>
    <col min="14346" max="14346" width="16" style="506" customWidth="1"/>
    <col min="14347" max="14347" width="12.375" style="506" bestFit="1" customWidth="1"/>
    <col min="14348" max="14564" width="11" style="506"/>
    <col min="14565" max="14565" width="32.75" style="506" customWidth="1"/>
    <col min="14566" max="14566" width="14.5" style="506" customWidth="1"/>
    <col min="14567" max="14567" width="15.625" style="506" bestFit="1" customWidth="1"/>
    <col min="14568" max="14568" width="15.5" style="506" customWidth="1"/>
    <col min="14569" max="14569" width="15.625" style="506" customWidth="1"/>
    <col min="14570" max="14570" width="15.625" style="506" bestFit="1" customWidth="1"/>
    <col min="14571" max="14571" width="15.875" style="506" customWidth="1"/>
    <col min="14572" max="14572" width="14.875" style="506" customWidth="1"/>
    <col min="14573" max="14573" width="14.5" style="506" customWidth="1"/>
    <col min="14574" max="14574" width="15.875" style="506" customWidth="1"/>
    <col min="14575" max="14575" width="12" style="506" bestFit="1" customWidth="1"/>
    <col min="14576" max="14576" width="18.625" style="506" customWidth="1"/>
    <col min="14577" max="14577" width="15.125" style="506" customWidth="1"/>
    <col min="14578" max="14578" width="15.625" style="506" bestFit="1" customWidth="1"/>
    <col min="14579" max="14579" width="16.375" style="506" customWidth="1"/>
    <col min="14580" max="14580" width="13.875" style="506" customWidth="1"/>
    <col min="14581" max="14581" width="18.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75" style="506" customWidth="1"/>
    <col min="14586" max="14586" width="10.875" style="506" customWidth="1"/>
    <col min="14587" max="14587" width="10" style="506" customWidth="1"/>
    <col min="14588" max="14588" width="17.375" style="506" customWidth="1"/>
    <col min="14589" max="14589" width="10.875" style="506" customWidth="1"/>
    <col min="14590" max="14590" width="10" style="506" customWidth="1"/>
    <col min="14591" max="14591" width="16.125" style="506" customWidth="1"/>
    <col min="14592" max="14592" width="10.875" style="506" customWidth="1"/>
    <col min="14593" max="14593" width="12" style="506" customWidth="1"/>
    <col min="14594" max="14594" width="18.875" style="506" customWidth="1"/>
    <col min="14595" max="14595" width="10.875" style="506" customWidth="1"/>
    <col min="14596" max="14596" width="16.25" style="506" bestFit="1" customWidth="1"/>
    <col min="14597" max="14597" width="12.375" style="506" bestFit="1" customWidth="1"/>
    <col min="14598" max="14598" width="10.875" style="506" customWidth="1"/>
    <col min="14599" max="14599" width="10" style="506" customWidth="1"/>
    <col min="14600" max="14600" width="17.5" style="506" customWidth="1"/>
    <col min="14601" max="14601" width="10.875" style="506" customWidth="1"/>
    <col min="14602" max="14602" width="16" style="506" customWidth="1"/>
    <col min="14603" max="14603" width="12.375" style="506" bestFit="1" customWidth="1"/>
    <col min="14604" max="14820" width="11" style="506"/>
    <col min="14821" max="14821" width="32.75" style="506" customWidth="1"/>
    <col min="14822" max="14822" width="14.5" style="506" customWidth="1"/>
    <col min="14823" max="14823" width="15.625" style="506" bestFit="1" customWidth="1"/>
    <col min="14824" max="14824" width="15.5" style="506" customWidth="1"/>
    <col min="14825" max="14825" width="15.625" style="506" customWidth="1"/>
    <col min="14826" max="14826" width="15.625" style="506" bestFit="1" customWidth="1"/>
    <col min="14827" max="14827" width="15.875" style="506" customWidth="1"/>
    <col min="14828" max="14828" width="14.875" style="506" customWidth="1"/>
    <col min="14829" max="14829" width="14.5" style="506" customWidth="1"/>
    <col min="14830" max="14830" width="15.875" style="506" customWidth="1"/>
    <col min="14831" max="14831" width="12" style="506" bestFit="1" customWidth="1"/>
    <col min="14832" max="14832" width="18.625" style="506" customWidth="1"/>
    <col min="14833" max="14833" width="15.125" style="506" customWidth="1"/>
    <col min="14834" max="14834" width="15.625" style="506" bestFit="1" customWidth="1"/>
    <col min="14835" max="14835" width="16.375" style="506" customWidth="1"/>
    <col min="14836" max="14836" width="13.875" style="506" customWidth="1"/>
    <col min="14837" max="14837" width="18.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75" style="506" customWidth="1"/>
    <col min="14842" max="14842" width="10.875" style="506" customWidth="1"/>
    <col min="14843" max="14843" width="10" style="506" customWidth="1"/>
    <col min="14844" max="14844" width="17.375" style="506" customWidth="1"/>
    <col min="14845" max="14845" width="10.875" style="506" customWidth="1"/>
    <col min="14846" max="14846" width="10" style="506" customWidth="1"/>
    <col min="14847" max="14847" width="16.125" style="506" customWidth="1"/>
    <col min="14848" max="14848" width="10.875" style="506" customWidth="1"/>
    <col min="14849" max="14849" width="12" style="506" customWidth="1"/>
    <col min="14850" max="14850" width="18.875" style="506" customWidth="1"/>
    <col min="14851" max="14851" width="10.875" style="506" customWidth="1"/>
    <col min="14852" max="14852" width="16.25" style="506" bestFit="1" customWidth="1"/>
    <col min="14853" max="14853" width="12.375" style="506" bestFit="1" customWidth="1"/>
    <col min="14854" max="14854" width="10.875" style="506" customWidth="1"/>
    <col min="14855" max="14855" width="10" style="506" customWidth="1"/>
    <col min="14856" max="14856" width="17.5" style="506" customWidth="1"/>
    <col min="14857" max="14857" width="10.875" style="506" customWidth="1"/>
    <col min="14858" max="14858" width="16" style="506" customWidth="1"/>
    <col min="14859" max="14859" width="12.375" style="506" bestFit="1" customWidth="1"/>
    <col min="14860" max="15076" width="11" style="506"/>
    <col min="15077" max="15077" width="32.75" style="506" customWidth="1"/>
    <col min="15078" max="15078" width="14.5" style="506" customWidth="1"/>
    <col min="15079" max="15079" width="15.625" style="506" bestFit="1" customWidth="1"/>
    <col min="15080" max="15080" width="15.5" style="506" customWidth="1"/>
    <col min="15081" max="15081" width="15.625" style="506" customWidth="1"/>
    <col min="15082" max="15082" width="15.625" style="506" bestFit="1" customWidth="1"/>
    <col min="15083" max="15083" width="15.875" style="506" customWidth="1"/>
    <col min="15084" max="15084" width="14.875" style="506" customWidth="1"/>
    <col min="15085" max="15085" width="14.5" style="506" customWidth="1"/>
    <col min="15086" max="15086" width="15.875" style="506" customWidth="1"/>
    <col min="15087" max="15087" width="12" style="506" bestFit="1" customWidth="1"/>
    <col min="15088" max="15088" width="18.625" style="506" customWidth="1"/>
    <col min="15089" max="15089" width="15.125" style="506" customWidth="1"/>
    <col min="15090" max="15090" width="15.625" style="506" bestFit="1" customWidth="1"/>
    <col min="15091" max="15091" width="16.375" style="506" customWidth="1"/>
    <col min="15092" max="15092" width="13.875" style="506" customWidth="1"/>
    <col min="15093" max="15093" width="18.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75" style="506" customWidth="1"/>
    <col min="15098" max="15098" width="10.875" style="506" customWidth="1"/>
    <col min="15099" max="15099" width="10" style="506" customWidth="1"/>
    <col min="15100" max="15100" width="17.375" style="506" customWidth="1"/>
    <col min="15101" max="15101" width="10.875" style="506" customWidth="1"/>
    <col min="15102" max="15102" width="10" style="506" customWidth="1"/>
    <col min="15103" max="15103" width="16.125" style="506" customWidth="1"/>
    <col min="15104" max="15104" width="10.875" style="506" customWidth="1"/>
    <col min="15105" max="15105" width="12" style="506" customWidth="1"/>
    <col min="15106" max="15106" width="18.875" style="506" customWidth="1"/>
    <col min="15107" max="15107" width="10.875" style="506" customWidth="1"/>
    <col min="15108" max="15108" width="16.25" style="506" bestFit="1" customWidth="1"/>
    <col min="15109" max="15109" width="12.375" style="506" bestFit="1" customWidth="1"/>
    <col min="15110" max="15110" width="10.875" style="506" customWidth="1"/>
    <col min="15111" max="15111" width="10" style="506" customWidth="1"/>
    <col min="15112" max="15112" width="17.5" style="506" customWidth="1"/>
    <col min="15113" max="15113" width="10.875" style="506" customWidth="1"/>
    <col min="15114" max="15114" width="16" style="506" customWidth="1"/>
    <col min="15115" max="15115" width="12.375" style="506" bestFit="1" customWidth="1"/>
    <col min="15116" max="15332" width="11" style="506"/>
    <col min="15333" max="15333" width="32.75" style="506" customWidth="1"/>
    <col min="15334" max="15334" width="14.5" style="506" customWidth="1"/>
    <col min="15335" max="15335" width="15.625" style="506" bestFit="1" customWidth="1"/>
    <col min="15336" max="15336" width="15.5" style="506" customWidth="1"/>
    <col min="15337" max="15337" width="15.625" style="506" customWidth="1"/>
    <col min="15338" max="15338" width="15.625" style="506" bestFit="1" customWidth="1"/>
    <col min="15339" max="15339" width="15.875" style="506" customWidth="1"/>
    <col min="15340" max="15340" width="14.875" style="506" customWidth="1"/>
    <col min="15341" max="15341" width="14.5" style="506" customWidth="1"/>
    <col min="15342" max="15342" width="15.875" style="506" customWidth="1"/>
    <col min="15343" max="15343" width="12" style="506" bestFit="1" customWidth="1"/>
    <col min="15344" max="15344" width="18.625" style="506" customWidth="1"/>
    <col min="15345" max="15345" width="15.125" style="506" customWidth="1"/>
    <col min="15346" max="15346" width="15.625" style="506" bestFit="1" customWidth="1"/>
    <col min="15347" max="15347" width="16.375" style="506" customWidth="1"/>
    <col min="15348" max="15348" width="13.875" style="506" customWidth="1"/>
    <col min="15349" max="15349" width="18.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75" style="506" customWidth="1"/>
    <col min="15354" max="15354" width="10.875" style="506" customWidth="1"/>
    <col min="15355" max="15355" width="10" style="506" customWidth="1"/>
    <col min="15356" max="15356" width="17.375" style="506" customWidth="1"/>
    <col min="15357" max="15357" width="10.875" style="506" customWidth="1"/>
    <col min="15358" max="15358" width="10" style="506" customWidth="1"/>
    <col min="15359" max="15359" width="16.125" style="506" customWidth="1"/>
    <col min="15360" max="15360" width="10.875" style="506" customWidth="1"/>
    <col min="15361" max="15361" width="12" style="506" customWidth="1"/>
    <col min="15362" max="15362" width="18.875" style="506" customWidth="1"/>
    <col min="15363" max="15363" width="10.875" style="506" customWidth="1"/>
    <col min="15364" max="15364" width="16.25" style="506" bestFit="1" customWidth="1"/>
    <col min="15365" max="15365" width="12.375" style="506" bestFit="1" customWidth="1"/>
    <col min="15366" max="15366" width="10.875" style="506" customWidth="1"/>
    <col min="15367" max="15367" width="10" style="506" customWidth="1"/>
    <col min="15368" max="15368" width="17.5" style="506" customWidth="1"/>
    <col min="15369" max="15369" width="10.875" style="506" customWidth="1"/>
    <col min="15370" max="15370" width="16" style="506" customWidth="1"/>
    <col min="15371" max="15371" width="12.375" style="506" bestFit="1" customWidth="1"/>
    <col min="15372" max="15588" width="11" style="506"/>
    <col min="15589" max="15589" width="32.75" style="506" customWidth="1"/>
    <col min="15590" max="15590" width="14.5" style="506" customWidth="1"/>
    <col min="15591" max="15591" width="15.625" style="506" bestFit="1" customWidth="1"/>
    <col min="15592" max="15592" width="15.5" style="506" customWidth="1"/>
    <col min="15593" max="15593" width="15.625" style="506" customWidth="1"/>
    <col min="15594" max="15594" width="15.625" style="506" bestFit="1" customWidth="1"/>
    <col min="15595" max="15595" width="15.875" style="506" customWidth="1"/>
    <col min="15596" max="15596" width="14.875" style="506" customWidth="1"/>
    <col min="15597" max="15597" width="14.5" style="506" customWidth="1"/>
    <col min="15598" max="15598" width="15.875" style="506" customWidth="1"/>
    <col min="15599" max="15599" width="12" style="506" bestFit="1" customWidth="1"/>
    <col min="15600" max="15600" width="18.625" style="506" customWidth="1"/>
    <col min="15601" max="15601" width="15.125" style="506" customWidth="1"/>
    <col min="15602" max="15602" width="15.625" style="506" bestFit="1" customWidth="1"/>
    <col min="15603" max="15603" width="16.375" style="506" customWidth="1"/>
    <col min="15604" max="15604" width="13.875" style="506" customWidth="1"/>
    <col min="15605" max="15605" width="18.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75" style="506" customWidth="1"/>
    <col min="15610" max="15610" width="10.875" style="506" customWidth="1"/>
    <col min="15611" max="15611" width="10" style="506" customWidth="1"/>
    <col min="15612" max="15612" width="17.375" style="506" customWidth="1"/>
    <col min="15613" max="15613" width="10.875" style="506" customWidth="1"/>
    <col min="15614" max="15614" width="10" style="506" customWidth="1"/>
    <col min="15615" max="15615" width="16.125" style="506" customWidth="1"/>
    <col min="15616" max="15616" width="10.875" style="506" customWidth="1"/>
    <col min="15617" max="15617" width="12" style="506" customWidth="1"/>
    <col min="15618" max="15618" width="18.875" style="506" customWidth="1"/>
    <col min="15619" max="15619" width="10.875" style="506" customWidth="1"/>
    <col min="15620" max="15620" width="16.25" style="506" bestFit="1" customWidth="1"/>
    <col min="15621" max="15621" width="12.375" style="506" bestFit="1" customWidth="1"/>
    <col min="15622" max="15622" width="10.875" style="506" customWidth="1"/>
    <col min="15623" max="15623" width="10" style="506" customWidth="1"/>
    <col min="15624" max="15624" width="17.5" style="506" customWidth="1"/>
    <col min="15625" max="15625" width="10.875" style="506" customWidth="1"/>
    <col min="15626" max="15626" width="16" style="506" customWidth="1"/>
    <col min="15627" max="15627" width="12.375" style="506" bestFit="1" customWidth="1"/>
    <col min="15628" max="15844" width="11" style="506"/>
    <col min="15845" max="15845" width="32.75" style="506" customWidth="1"/>
    <col min="15846" max="15846" width="14.5" style="506" customWidth="1"/>
    <col min="15847" max="15847" width="15.625" style="506" bestFit="1" customWidth="1"/>
    <col min="15848" max="15848" width="15.5" style="506" customWidth="1"/>
    <col min="15849" max="15849" width="15.625" style="506" customWidth="1"/>
    <col min="15850" max="15850" width="15.625" style="506" bestFit="1" customWidth="1"/>
    <col min="15851" max="15851" width="15.875" style="506" customWidth="1"/>
    <col min="15852" max="15852" width="14.875" style="506" customWidth="1"/>
    <col min="15853" max="15853" width="14.5" style="506" customWidth="1"/>
    <col min="15854" max="15854" width="15.875" style="506" customWidth="1"/>
    <col min="15855" max="15855" width="12" style="506" bestFit="1" customWidth="1"/>
    <col min="15856" max="15856" width="18.625" style="506" customWidth="1"/>
    <col min="15857" max="15857" width="15.125" style="506" customWidth="1"/>
    <col min="15858" max="15858" width="15.625" style="506" bestFit="1" customWidth="1"/>
    <col min="15859" max="15859" width="16.375" style="506" customWidth="1"/>
    <col min="15860" max="15860" width="13.875" style="506" customWidth="1"/>
    <col min="15861" max="15861" width="18.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75" style="506" customWidth="1"/>
    <col min="15866" max="15866" width="10.875" style="506" customWidth="1"/>
    <col min="15867" max="15867" width="10" style="506" customWidth="1"/>
    <col min="15868" max="15868" width="17.375" style="506" customWidth="1"/>
    <col min="15869" max="15869" width="10.875" style="506" customWidth="1"/>
    <col min="15870" max="15870" width="10" style="506" customWidth="1"/>
    <col min="15871" max="15871" width="16.125" style="506" customWidth="1"/>
    <col min="15872" max="15872" width="10.875" style="506" customWidth="1"/>
    <col min="15873" max="15873" width="12" style="506" customWidth="1"/>
    <col min="15874" max="15874" width="18.875" style="506" customWidth="1"/>
    <col min="15875" max="15875" width="10.875" style="506" customWidth="1"/>
    <col min="15876" max="15876" width="16.25" style="506" bestFit="1" customWidth="1"/>
    <col min="15877" max="15877" width="12.375" style="506" bestFit="1" customWidth="1"/>
    <col min="15878" max="15878" width="10.875" style="506" customWidth="1"/>
    <col min="15879" max="15879" width="10" style="506" customWidth="1"/>
    <col min="15880" max="15880" width="17.5" style="506" customWidth="1"/>
    <col min="15881" max="15881" width="10.875" style="506" customWidth="1"/>
    <col min="15882" max="15882" width="16" style="506" customWidth="1"/>
    <col min="15883" max="15883" width="12.375" style="506" bestFit="1" customWidth="1"/>
    <col min="15884" max="16100" width="11" style="506"/>
    <col min="16101" max="16101" width="32.75" style="506" customWidth="1"/>
    <col min="16102" max="16102" width="14.5" style="506" customWidth="1"/>
    <col min="16103" max="16103" width="15.625" style="506" bestFit="1" customWidth="1"/>
    <col min="16104" max="16104" width="15.5" style="506" customWidth="1"/>
    <col min="16105" max="16105" width="15.625" style="506" customWidth="1"/>
    <col min="16106" max="16106" width="15.625" style="506" bestFit="1" customWidth="1"/>
    <col min="16107" max="16107" width="15.875" style="506" customWidth="1"/>
    <col min="16108" max="16108" width="14.875" style="506" customWidth="1"/>
    <col min="16109" max="16109" width="14.5" style="506" customWidth="1"/>
    <col min="16110" max="16110" width="15.875" style="506" customWidth="1"/>
    <col min="16111" max="16111" width="12" style="506" bestFit="1" customWidth="1"/>
    <col min="16112" max="16112" width="18.625" style="506" customWidth="1"/>
    <col min="16113" max="16113" width="15.125" style="506" customWidth="1"/>
    <col min="16114" max="16114" width="15.625" style="506" bestFit="1" customWidth="1"/>
    <col min="16115" max="16115" width="16.375" style="506" customWidth="1"/>
    <col min="16116" max="16116" width="13.875" style="506" customWidth="1"/>
    <col min="16117" max="16117" width="18.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75" style="506" customWidth="1"/>
    <col min="16122" max="16122" width="10.875" style="506" customWidth="1"/>
    <col min="16123" max="16123" width="10" style="506" customWidth="1"/>
    <col min="16124" max="16124" width="17.375" style="506" customWidth="1"/>
    <col min="16125" max="16125" width="10.875" style="506" customWidth="1"/>
    <col min="16126" max="16126" width="10" style="506" customWidth="1"/>
    <col min="16127" max="16127" width="16.125" style="506" customWidth="1"/>
    <col min="16128" max="16128" width="10.875" style="506" customWidth="1"/>
    <col min="16129" max="16129" width="12" style="506" customWidth="1"/>
    <col min="16130" max="16130" width="18.875" style="506" customWidth="1"/>
    <col min="16131" max="16131" width="10.875" style="506" customWidth="1"/>
    <col min="16132" max="16132" width="16.25" style="506" bestFit="1" customWidth="1"/>
    <col min="16133" max="16133" width="12.375" style="506" bestFit="1" customWidth="1"/>
    <col min="16134" max="16134" width="10.875" style="506" customWidth="1"/>
    <col min="16135" max="16135" width="10" style="506" customWidth="1"/>
    <col min="16136" max="16136" width="17.5" style="506" customWidth="1"/>
    <col min="16137" max="16137" width="10.875" style="506" customWidth="1"/>
    <col min="16138" max="16138" width="16" style="506" customWidth="1"/>
    <col min="16139" max="16139" width="12.375" style="506" bestFit="1" customWidth="1"/>
    <col min="16140" max="16384" width="11" style="506"/>
  </cols>
  <sheetData>
    <row r="1" spans="1:219" ht="41.25" customHeight="1">
      <c r="B1" s="1277" t="str">
        <f>"Budget 2023 Mensuel"&amp;" "&amp;Parametres!$B$1</f>
        <v>Budget 2023 Mensuel BMW Sherbrooke</v>
      </c>
      <c r="C1" s="1277"/>
      <c r="D1" s="1277"/>
      <c r="E1" s="1277"/>
      <c r="F1" s="1277"/>
      <c r="G1" s="1277"/>
      <c r="H1" s="1277"/>
      <c r="I1" s="1277"/>
      <c r="J1" s="1277"/>
      <c r="K1" s="1277"/>
      <c r="L1" s="1277"/>
      <c r="M1" s="1277"/>
      <c r="N1" s="1277"/>
      <c r="O1" s="1277"/>
      <c r="P1" s="1277"/>
      <c r="Q1" s="1277"/>
      <c r="R1" s="1277"/>
      <c r="S1" s="1277"/>
      <c r="T1" s="1277"/>
      <c r="U1" s="1277"/>
      <c r="V1" s="1277"/>
      <c r="W1" s="1277"/>
      <c r="X1" s="1277"/>
      <c r="Y1" s="1277"/>
      <c r="Z1" s="1277"/>
      <c r="AA1" s="1277"/>
      <c r="AB1" s="1277"/>
      <c r="AC1" s="1277"/>
      <c r="AD1" s="1277"/>
      <c r="AE1" s="1277"/>
      <c r="AF1" s="1277"/>
      <c r="AG1" s="1277"/>
      <c r="AH1" s="1277"/>
      <c r="AI1" s="1277"/>
      <c r="AJ1" s="1277"/>
      <c r="AK1" s="1277"/>
      <c r="AL1" s="1277"/>
      <c r="AM1" s="1277"/>
      <c r="AN1" s="1277"/>
      <c r="AO1" s="1277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/>
      </c>
      <c r="AH2" s="538" t="str">
        <f>+IF(Parametres!$B$3=AG$6,"O","")</f>
        <v/>
      </c>
      <c r="AI2" s="538" t="str">
        <f>+IF(Parametres!$B$3=AG$6,"U","")</f>
        <v/>
      </c>
      <c r="AJ2" s="538" t="str">
        <f>+IF(Parametres!$B$3=AJ$6,"X","")</f>
        <v/>
      </c>
      <c r="AK2" s="538" t="str">
        <f>+IF(Parametres!$B$3=AJ$6,"O","")</f>
        <v/>
      </c>
      <c r="AL2" s="538" t="str">
        <f>+IF(Parametres!$B$3=AJ$6,"U","")</f>
        <v/>
      </c>
      <c r="AM2" s="538" t="str">
        <f>+IF(Parametres!$B$3=AM$6,"X","")</f>
        <v>X</v>
      </c>
      <c r="AN2" s="538" t="str">
        <f>+IF(Parametres!$B$3=AM$6,"O","")</f>
        <v>O</v>
      </c>
      <c r="AO2" s="538" t="str">
        <f>+IF(Parametres!$B$3=AM$6,"U","")</f>
        <v>U</v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>X</v>
      </c>
      <c r="AK3" s="507" t="str">
        <f>+IF(VLOOKUP(AJ$6,Parametres!$K$3:$N$14,4,0)="X","O","")</f>
        <v>O</v>
      </c>
      <c r="AL3" s="507" t="str">
        <f>+IF(VLOOKUP(AJ$6,Parametres!$K$3:$N$14,4,0)="X","U","")</f>
        <v>U</v>
      </c>
      <c r="AM3" s="507" t="str">
        <f>+IF(VLOOKUP(AM$6,Parametres!$K$3:$N$14,4,0)="X","X","")</f>
        <v>X</v>
      </c>
      <c r="AN3" s="507" t="str">
        <f>+IF(VLOOKUP(AM$6,Parametres!$K$3:$N$14,4,0)="X","O","")</f>
        <v>O</v>
      </c>
      <c r="AO3" s="507" t="str">
        <f>+IF(VLOOKUP(AM$6,Parametres!$K$3:$N$14,4,0)="X","U","")</f>
        <v>U</v>
      </c>
    </row>
    <row r="4" spans="1:219" s="508" customFormat="1" ht="35.25">
      <c r="A4" s="507"/>
      <c r="B4" s="507" t="s">
        <v>2935</v>
      </c>
      <c r="C4" s="1278" t="s">
        <v>75</v>
      </c>
      <c r="D4" s="1278"/>
      <c r="E4" s="1278"/>
      <c r="F4" s="1278"/>
      <c r="G4" s="1278"/>
      <c r="H4" s="1278"/>
      <c r="I4" s="1278"/>
      <c r="J4" s="1278"/>
      <c r="K4" s="1278"/>
      <c r="L4" s="1278"/>
      <c r="M4" s="1278"/>
      <c r="N4" s="1278"/>
      <c r="O4" s="1278"/>
      <c r="P4" s="1278"/>
      <c r="Q4" s="1278"/>
      <c r="R4" s="1278"/>
      <c r="S4" s="1278"/>
      <c r="T4" s="1278"/>
      <c r="U4" s="1278"/>
      <c r="V4" s="1278"/>
      <c r="W4" s="1278"/>
      <c r="X4" s="1278"/>
      <c r="Y4" s="1278"/>
      <c r="Z4" s="1278"/>
      <c r="AA4" s="1278"/>
      <c r="AB4" s="1278"/>
      <c r="AC4" s="1278"/>
      <c r="AD4" s="1278"/>
      <c r="AE4" s="1278"/>
      <c r="AF4" s="1278"/>
      <c r="AG4" s="1278"/>
      <c r="AH4" s="1278"/>
      <c r="AI4" s="1278"/>
      <c r="AJ4" s="1278"/>
      <c r="AK4" s="1278"/>
      <c r="AL4" s="1278"/>
      <c r="AM4" s="1278"/>
      <c r="AN4" s="1278"/>
      <c r="AO4" s="1278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" thickTop="1">
      <c r="A6" s="539"/>
      <c r="B6" s="658" t="s">
        <v>293</v>
      </c>
      <c r="C6" s="768">
        <v>2024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25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25">
      <c r="A8" s="540" t="str">
        <f>+$C$4&amp;B8</f>
        <v>Véhicules neufsVentes nettes</v>
      </c>
      <c r="B8" s="610" t="s">
        <v>85</v>
      </c>
      <c r="C8" s="774"/>
      <c r="D8" s="775"/>
      <c r="E8" s="776">
        <v>25487207.219999958</v>
      </c>
      <c r="F8" s="774"/>
      <c r="G8" s="775"/>
      <c r="H8" s="776">
        <v>926822.67</v>
      </c>
      <c r="I8" s="774"/>
      <c r="J8" s="775"/>
      <c r="K8" s="776">
        <v>745667.64</v>
      </c>
      <c r="L8" s="774"/>
      <c r="M8" s="775"/>
      <c r="N8" s="776">
        <v>1972302.30999999</v>
      </c>
      <c r="O8" s="774"/>
      <c r="P8" s="775"/>
      <c r="Q8" s="776">
        <v>2814437.6399999899</v>
      </c>
      <c r="R8" s="774"/>
      <c r="S8" s="775"/>
      <c r="T8" s="776">
        <v>3270847.44</v>
      </c>
      <c r="U8" s="774"/>
      <c r="V8" s="775"/>
      <c r="W8" s="776">
        <v>1710445.63</v>
      </c>
      <c r="X8" s="774"/>
      <c r="Y8" s="775"/>
      <c r="Z8" s="776">
        <v>1425137.36</v>
      </c>
      <c r="AA8" s="774"/>
      <c r="AB8" s="775"/>
      <c r="AC8" s="776">
        <v>1468150.11</v>
      </c>
      <c r="AD8" s="774"/>
      <c r="AE8" s="775"/>
      <c r="AF8" s="776">
        <v>3148461.45</v>
      </c>
      <c r="AG8" s="774"/>
      <c r="AH8" s="775"/>
      <c r="AI8" s="776">
        <v>2092480.4099999899</v>
      </c>
      <c r="AJ8" s="774"/>
      <c r="AK8" s="775"/>
      <c r="AL8" s="776">
        <v>3424220.96</v>
      </c>
      <c r="AM8" s="774"/>
      <c r="AN8" s="775"/>
      <c r="AO8" s="776">
        <v>2488233.5999999898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25">
      <c r="A9" s="540" t="str">
        <f t="shared" ref="A9:A73" si="0">+$C$4&amp;B9</f>
        <v>Véhicules neufsAutos détail</v>
      </c>
      <c r="B9" s="550" t="s">
        <v>86</v>
      </c>
      <c r="C9" s="777">
        <v>87</v>
      </c>
      <c r="D9" s="778">
        <v>5158.778045977012</v>
      </c>
      <c r="E9" s="779">
        <v>448813.69</v>
      </c>
      <c r="F9" s="777">
        <v>2</v>
      </c>
      <c r="G9" s="778">
        <v>4853.5649999999996</v>
      </c>
      <c r="H9" s="779">
        <v>9707.1299999999992</v>
      </c>
      <c r="I9" s="777">
        <v>5</v>
      </c>
      <c r="J9" s="778">
        <v>4773.3019999999797</v>
      </c>
      <c r="K9" s="779">
        <v>23866.5099999999</v>
      </c>
      <c r="L9" s="777">
        <v>4</v>
      </c>
      <c r="M9" s="778">
        <v>6596.2150000000001</v>
      </c>
      <c r="N9" s="779">
        <v>26384.86</v>
      </c>
      <c r="O9" s="777">
        <v>13</v>
      </c>
      <c r="P9" s="778">
        <v>5336.7323076923158</v>
      </c>
      <c r="Q9" s="779">
        <v>69377.520000000106</v>
      </c>
      <c r="R9" s="777">
        <v>12</v>
      </c>
      <c r="S9" s="778">
        <v>4900.4450000000079</v>
      </c>
      <c r="T9" s="779">
        <v>58805.340000000098</v>
      </c>
      <c r="U9" s="777">
        <v>7</v>
      </c>
      <c r="V9" s="778">
        <v>4333.9528571428573</v>
      </c>
      <c r="W9" s="779">
        <v>30337.67</v>
      </c>
      <c r="X9" s="777">
        <v>0</v>
      </c>
      <c r="Y9" s="778">
        <v>0</v>
      </c>
      <c r="Z9" s="779">
        <v>-205.85</v>
      </c>
      <c r="AA9" s="777">
        <v>8</v>
      </c>
      <c r="AB9" s="778">
        <v>2390.53125</v>
      </c>
      <c r="AC9" s="779">
        <v>19124.25</v>
      </c>
      <c r="AD9" s="777">
        <v>5</v>
      </c>
      <c r="AE9" s="778">
        <v>5369.0599999999995</v>
      </c>
      <c r="AF9" s="779">
        <v>26845.3</v>
      </c>
      <c r="AG9" s="777">
        <v>10</v>
      </c>
      <c r="AH9" s="778">
        <v>5653.2790000000005</v>
      </c>
      <c r="AI9" s="779">
        <v>56532.79</v>
      </c>
      <c r="AJ9" s="777">
        <v>9</v>
      </c>
      <c r="AK9" s="778">
        <v>5377.2044444444437</v>
      </c>
      <c r="AL9" s="779">
        <v>48394.84</v>
      </c>
      <c r="AM9" s="777">
        <v>12</v>
      </c>
      <c r="AN9" s="778">
        <v>6636.944166666658</v>
      </c>
      <c r="AO9" s="779">
        <v>79643.3299999999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25">
      <c r="A10" s="540" t="str">
        <f t="shared" si="0"/>
        <v>Véhicules neufsCamions détail</v>
      </c>
      <c r="B10" s="550" t="s">
        <v>87</v>
      </c>
      <c r="C10" s="777">
        <v>142</v>
      </c>
      <c r="D10" s="778">
        <v>4574.8696478873198</v>
      </c>
      <c r="E10" s="779">
        <v>649631.48999999941</v>
      </c>
      <c r="F10" s="777">
        <v>4</v>
      </c>
      <c r="G10" s="778">
        <v>6340.3849999999748</v>
      </c>
      <c r="H10" s="779">
        <v>25361.539999999899</v>
      </c>
      <c r="I10" s="777">
        <v>1</v>
      </c>
      <c r="J10" s="778">
        <v>7866.05</v>
      </c>
      <c r="K10" s="779">
        <v>7866.05</v>
      </c>
      <c r="L10" s="777">
        <v>12</v>
      </c>
      <c r="M10" s="778">
        <v>4793.2274999999836</v>
      </c>
      <c r="N10" s="779">
        <v>57518.729999999799</v>
      </c>
      <c r="O10" s="777">
        <v>12</v>
      </c>
      <c r="P10" s="778">
        <v>4634.92</v>
      </c>
      <c r="Q10" s="779">
        <v>55619.040000000001</v>
      </c>
      <c r="R10" s="777">
        <v>22</v>
      </c>
      <c r="S10" s="778">
        <v>4523.4468181818138</v>
      </c>
      <c r="T10" s="779">
        <v>99515.8299999999</v>
      </c>
      <c r="U10" s="777">
        <v>10</v>
      </c>
      <c r="V10" s="778">
        <v>4305.3519999999899</v>
      </c>
      <c r="W10" s="779">
        <v>43053.519999999902</v>
      </c>
      <c r="X10" s="777">
        <v>13</v>
      </c>
      <c r="Y10" s="778">
        <v>4541.1207692307544</v>
      </c>
      <c r="Z10" s="779">
        <v>59034.569999999803</v>
      </c>
      <c r="AA10" s="777">
        <v>4</v>
      </c>
      <c r="AB10" s="778">
        <v>4085.979999999975</v>
      </c>
      <c r="AC10" s="779">
        <v>16343.9199999999</v>
      </c>
      <c r="AD10" s="777">
        <v>17</v>
      </c>
      <c r="AE10" s="778">
        <v>5159.5535294117526</v>
      </c>
      <c r="AF10" s="779">
        <v>87712.4099999998</v>
      </c>
      <c r="AG10" s="777">
        <v>13</v>
      </c>
      <c r="AH10" s="778">
        <v>4282.3400000000074</v>
      </c>
      <c r="AI10" s="779">
        <v>55670.4200000001</v>
      </c>
      <c r="AJ10" s="777">
        <v>23</v>
      </c>
      <c r="AK10" s="778">
        <v>3739.0256521739084</v>
      </c>
      <c r="AL10" s="779">
        <v>85997.589999999895</v>
      </c>
      <c r="AM10" s="777">
        <v>11</v>
      </c>
      <c r="AN10" s="778">
        <v>5085.2609090909364</v>
      </c>
      <c r="AO10" s="779">
        <v>55937.870000000301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25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25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25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25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25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0.25">
      <c r="A16" s="540" t="str">
        <f t="shared" si="0"/>
        <v>Véhicules neufsTotal Neufs</v>
      </c>
      <c r="B16" s="604" t="s">
        <v>90</v>
      </c>
      <c r="C16" s="782">
        <v>229</v>
      </c>
      <c r="D16" s="783">
        <v>4796.7038427947573</v>
      </c>
      <c r="E16" s="784">
        <v>1098445.1799999995</v>
      </c>
      <c r="F16" s="782">
        <v>6</v>
      </c>
      <c r="G16" s="783">
        <v>5844.7783333333164</v>
      </c>
      <c r="H16" s="784">
        <v>35068.669999999896</v>
      </c>
      <c r="I16" s="782">
        <v>6</v>
      </c>
      <c r="J16" s="783">
        <v>5288.7599999999829</v>
      </c>
      <c r="K16" s="784">
        <v>31732.559999999899</v>
      </c>
      <c r="L16" s="782">
        <v>16</v>
      </c>
      <c r="M16" s="783">
        <v>5243.974374999987</v>
      </c>
      <c r="N16" s="784">
        <v>83903.589999999793</v>
      </c>
      <c r="O16" s="782">
        <v>25</v>
      </c>
      <c r="P16" s="783">
        <v>4999.8624000000045</v>
      </c>
      <c r="Q16" s="784">
        <v>124996.56000000011</v>
      </c>
      <c r="R16" s="782">
        <v>34</v>
      </c>
      <c r="S16" s="783">
        <v>4656.5049999999992</v>
      </c>
      <c r="T16" s="784">
        <v>158321.16999999998</v>
      </c>
      <c r="U16" s="782">
        <v>17</v>
      </c>
      <c r="V16" s="783">
        <v>4317.128823529406</v>
      </c>
      <c r="W16" s="784">
        <v>73391.1899999999</v>
      </c>
      <c r="X16" s="782">
        <v>13</v>
      </c>
      <c r="Y16" s="783">
        <v>4525.2861538461384</v>
      </c>
      <c r="Z16" s="784">
        <v>58828.719999999805</v>
      </c>
      <c r="AA16" s="782">
        <v>12</v>
      </c>
      <c r="AB16" s="783">
        <v>2955.6808333333247</v>
      </c>
      <c r="AC16" s="784">
        <v>35468.169999999896</v>
      </c>
      <c r="AD16" s="782">
        <v>22</v>
      </c>
      <c r="AE16" s="783">
        <v>5207.1686363636272</v>
      </c>
      <c r="AF16" s="784">
        <v>114557.7099999998</v>
      </c>
      <c r="AG16" s="782">
        <v>23</v>
      </c>
      <c r="AH16" s="783">
        <v>4878.400434782613</v>
      </c>
      <c r="AI16" s="784">
        <v>112203.21000000011</v>
      </c>
      <c r="AJ16" s="782">
        <v>32</v>
      </c>
      <c r="AK16" s="783">
        <v>4199.7634374999961</v>
      </c>
      <c r="AL16" s="784">
        <v>134392.42999999988</v>
      </c>
      <c r="AM16" s="782">
        <v>23</v>
      </c>
      <c r="AN16" s="783">
        <v>5894.8347826087038</v>
      </c>
      <c r="AO16" s="784">
        <v>135581.20000000019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25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0.25">
      <c r="A18" s="540" t="str">
        <f t="shared" si="0"/>
        <v>Véhicules neufsEx-Démos et courtoisies</v>
      </c>
      <c r="B18" s="652" t="s">
        <v>91</v>
      </c>
      <c r="C18" s="787">
        <v>36</v>
      </c>
      <c r="D18" s="788">
        <v>1369.8802777777792</v>
      </c>
      <c r="E18" s="789">
        <v>49315.690000000053</v>
      </c>
      <c r="F18" s="787">
        <v>2</v>
      </c>
      <c r="G18" s="788">
        <v>2993.7049999999899</v>
      </c>
      <c r="H18" s="789">
        <v>5987.4099999999798</v>
      </c>
      <c r="I18" s="787">
        <v>3</v>
      </c>
      <c r="J18" s="788">
        <v>1500</v>
      </c>
      <c r="K18" s="789">
        <v>4500</v>
      </c>
      <c r="L18" s="787">
        <v>5</v>
      </c>
      <c r="M18" s="788">
        <v>3624.56</v>
      </c>
      <c r="N18" s="789">
        <v>18122.8</v>
      </c>
      <c r="O18" s="787">
        <v>5</v>
      </c>
      <c r="P18" s="788">
        <v>3098.8779999999997</v>
      </c>
      <c r="Q18" s="789">
        <v>15494.39</v>
      </c>
      <c r="R18" s="787">
        <v>5</v>
      </c>
      <c r="S18" s="788">
        <v>588.60600000000409</v>
      </c>
      <c r="T18" s="789">
        <v>2943.0300000000202</v>
      </c>
      <c r="U18" s="787">
        <v>1</v>
      </c>
      <c r="V18" s="788">
        <v>1250</v>
      </c>
      <c r="W18" s="789">
        <v>1250</v>
      </c>
      <c r="X18" s="787">
        <v>1</v>
      </c>
      <c r="Y18" s="788">
        <v>10720.5</v>
      </c>
      <c r="Z18" s="789">
        <v>10720.5</v>
      </c>
      <c r="AA18" s="787">
        <v>2</v>
      </c>
      <c r="AB18" s="788">
        <v>1513.885000000005</v>
      </c>
      <c r="AC18" s="789">
        <v>3027.77000000001</v>
      </c>
      <c r="AD18" s="787">
        <v>7</v>
      </c>
      <c r="AE18" s="788">
        <v>403.89428571427862</v>
      </c>
      <c r="AF18" s="789">
        <v>2827.2599999999502</v>
      </c>
      <c r="AG18" s="787">
        <v>0</v>
      </c>
      <c r="AH18" s="788">
        <v>0</v>
      </c>
      <c r="AI18" s="789">
        <v>0</v>
      </c>
      <c r="AJ18" s="787">
        <v>3</v>
      </c>
      <c r="AK18" s="788">
        <v>-5578.1033333332998</v>
      </c>
      <c r="AL18" s="789">
        <v>-16734.309999999899</v>
      </c>
      <c r="AM18" s="787">
        <v>2</v>
      </c>
      <c r="AN18" s="788">
        <v>588.41999999999496</v>
      </c>
      <c r="AO18" s="789">
        <v>1176.8399999999899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25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0.25">
      <c r="A20" s="540" t="str">
        <f t="shared" si="0"/>
        <v>Véhicules neufsFlottes</v>
      </c>
      <c r="B20" s="620" t="s">
        <v>92</v>
      </c>
      <c r="C20" s="777">
        <v>5</v>
      </c>
      <c r="D20" s="778">
        <v>2686.7860000000019</v>
      </c>
      <c r="E20" s="779">
        <v>13433.930000000009</v>
      </c>
      <c r="F20" s="777">
        <v>1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0</v>
      </c>
      <c r="M20" s="778">
        <v>0</v>
      </c>
      <c r="N20" s="779">
        <v>0</v>
      </c>
      <c r="O20" s="777">
        <v>0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1</v>
      </c>
      <c r="AB20" s="778">
        <v>12964.17</v>
      </c>
      <c r="AC20" s="779">
        <v>12964.17</v>
      </c>
      <c r="AD20" s="777">
        <v>0</v>
      </c>
      <c r="AE20" s="778">
        <v>0</v>
      </c>
      <c r="AF20" s="779">
        <v>0</v>
      </c>
      <c r="AG20" s="777">
        <v>1</v>
      </c>
      <c r="AH20" s="778">
        <v>416.180000000007</v>
      </c>
      <c r="AI20" s="779">
        <v>416.180000000007</v>
      </c>
      <c r="AJ20" s="777">
        <v>2</v>
      </c>
      <c r="AK20" s="778">
        <v>26.790000000000848</v>
      </c>
      <c r="AL20" s="779">
        <v>53.580000000001696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0.25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0.25">
      <c r="A22" s="540" t="str">
        <f t="shared" si="0"/>
        <v>Véhicules neufsRachat bail</v>
      </c>
      <c r="B22" s="653" t="s">
        <v>93</v>
      </c>
      <c r="C22" s="780"/>
      <c r="D22" s="778"/>
      <c r="E22" s="779">
        <v>45746.459999999934</v>
      </c>
      <c r="F22" s="780"/>
      <c r="G22" s="778"/>
      <c r="H22" s="779">
        <v>3995.96</v>
      </c>
      <c r="I22" s="780"/>
      <c r="J22" s="778"/>
      <c r="K22" s="779">
        <v>967.38999999999896</v>
      </c>
      <c r="L22" s="780"/>
      <c r="M22" s="778"/>
      <c r="N22" s="779">
        <v>2976.4199999999901</v>
      </c>
      <c r="O22" s="780"/>
      <c r="P22" s="778"/>
      <c r="Q22" s="779">
        <v>3495.3899999999899</v>
      </c>
      <c r="R22" s="780"/>
      <c r="S22" s="778"/>
      <c r="T22" s="779">
        <v>8901.1099999999806</v>
      </c>
      <c r="U22" s="780"/>
      <c r="V22" s="778"/>
      <c r="W22" s="779">
        <v>5993.8999999999896</v>
      </c>
      <c r="X22" s="780"/>
      <c r="Y22" s="778"/>
      <c r="Z22" s="779">
        <v>5547.0500000000102</v>
      </c>
      <c r="AA22" s="780"/>
      <c r="AB22" s="778"/>
      <c r="AC22" s="779">
        <v>5620.9499999999798</v>
      </c>
      <c r="AD22" s="780"/>
      <c r="AE22" s="778"/>
      <c r="AF22" s="779">
        <v>2371.4</v>
      </c>
      <c r="AG22" s="780"/>
      <c r="AH22" s="778"/>
      <c r="AI22" s="779">
        <v>3371.01</v>
      </c>
      <c r="AJ22" s="780"/>
      <c r="AK22" s="778"/>
      <c r="AL22" s="779">
        <v>999</v>
      </c>
      <c r="AM22" s="780"/>
      <c r="AN22" s="778"/>
      <c r="AO22" s="779">
        <v>1506.8799999999901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25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25">
      <c r="A24" s="540" t="str">
        <f t="shared" si="0"/>
        <v>Véhicules neufsRev. Finances</v>
      </c>
      <c r="B24" s="550" t="s">
        <v>94</v>
      </c>
      <c r="C24" s="777"/>
      <c r="D24" s="778">
        <v>11.362226415094339</v>
      </c>
      <c r="E24" s="779">
        <v>3010.99</v>
      </c>
      <c r="F24" s="777"/>
      <c r="G24" s="778">
        <v>0</v>
      </c>
      <c r="H24" s="779">
        <v>0</v>
      </c>
      <c r="I24" s="777"/>
      <c r="J24" s="778">
        <v>0</v>
      </c>
      <c r="K24" s="779">
        <v>0</v>
      </c>
      <c r="L24" s="777"/>
      <c r="M24" s="778">
        <v>135.65190476190477</v>
      </c>
      <c r="N24" s="779">
        <v>2848.69</v>
      </c>
      <c r="O24" s="777"/>
      <c r="P24" s="778">
        <v>0</v>
      </c>
      <c r="Q24" s="779">
        <v>0</v>
      </c>
      <c r="R24" s="777"/>
      <c r="S24" s="778">
        <v>-31.520769230769229</v>
      </c>
      <c r="T24" s="779">
        <v>-1229.31</v>
      </c>
      <c r="U24" s="777"/>
      <c r="V24" s="778">
        <v>0</v>
      </c>
      <c r="W24" s="779">
        <v>0</v>
      </c>
      <c r="X24" s="777"/>
      <c r="Y24" s="778">
        <v>0</v>
      </c>
      <c r="Z24" s="779">
        <v>0</v>
      </c>
      <c r="AA24" s="777"/>
      <c r="AB24" s="778">
        <v>0</v>
      </c>
      <c r="AC24" s="779">
        <v>0</v>
      </c>
      <c r="AD24" s="777"/>
      <c r="AE24" s="778">
        <v>5.1724137931034484</v>
      </c>
      <c r="AF24" s="779">
        <v>150</v>
      </c>
      <c r="AG24" s="777"/>
      <c r="AH24" s="778">
        <v>0</v>
      </c>
      <c r="AI24" s="779">
        <v>0</v>
      </c>
      <c r="AJ24" s="777"/>
      <c r="AK24" s="778">
        <v>0</v>
      </c>
      <c r="AL24" s="779">
        <v>0</v>
      </c>
      <c r="AM24" s="777"/>
      <c r="AN24" s="778">
        <v>49.664399999999993</v>
      </c>
      <c r="AO24" s="779">
        <v>1241.6099999999999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25">
      <c r="A25" s="540" t="str">
        <f t="shared" si="0"/>
        <v>Véhicules neufsRev. Protections</v>
      </c>
      <c r="B25" s="550" t="s">
        <v>95</v>
      </c>
      <c r="C25" s="777"/>
      <c r="D25" s="778">
        <v>1161.4258490566026</v>
      </c>
      <c r="E25" s="779">
        <v>307777.84999999969</v>
      </c>
      <c r="F25" s="777"/>
      <c r="G25" s="778">
        <v>1221.5</v>
      </c>
      <c r="H25" s="779">
        <v>9772</v>
      </c>
      <c r="I25" s="777"/>
      <c r="J25" s="778">
        <v>1291.0111111111</v>
      </c>
      <c r="K25" s="779">
        <v>11619.0999999999</v>
      </c>
      <c r="L25" s="777"/>
      <c r="M25" s="778">
        <v>1102.7619047619048</v>
      </c>
      <c r="N25" s="779">
        <v>23158</v>
      </c>
      <c r="O25" s="777"/>
      <c r="P25" s="778">
        <v>1293.3413333333333</v>
      </c>
      <c r="Q25" s="779">
        <v>38800.239999999998</v>
      </c>
      <c r="R25" s="777"/>
      <c r="S25" s="778">
        <v>1158.7410256410258</v>
      </c>
      <c r="T25" s="779">
        <v>45190.9</v>
      </c>
      <c r="U25" s="777"/>
      <c r="V25" s="778">
        <v>1118.0944444444387</v>
      </c>
      <c r="W25" s="779">
        <v>20125.699999999899</v>
      </c>
      <c r="X25" s="777"/>
      <c r="Y25" s="778">
        <v>1085.999999999993</v>
      </c>
      <c r="Z25" s="779">
        <v>15203.9999999999</v>
      </c>
      <c r="AA25" s="777"/>
      <c r="AB25" s="778">
        <v>1140.7714285714285</v>
      </c>
      <c r="AC25" s="779">
        <v>15970.8</v>
      </c>
      <c r="AD25" s="777"/>
      <c r="AE25" s="778">
        <v>1040.6896551724137</v>
      </c>
      <c r="AF25" s="779">
        <v>30180</v>
      </c>
      <c r="AG25" s="777"/>
      <c r="AH25" s="778">
        <v>854.43913043478256</v>
      </c>
      <c r="AI25" s="779">
        <v>19652.099999999999</v>
      </c>
      <c r="AJ25" s="777"/>
      <c r="AK25" s="778">
        <v>1455.2968571428571</v>
      </c>
      <c r="AL25" s="779">
        <v>50935.39</v>
      </c>
      <c r="AM25" s="777"/>
      <c r="AN25" s="778">
        <v>1086.7847999999999</v>
      </c>
      <c r="AO25" s="779">
        <v>27169.62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25">
      <c r="A26" s="540" t="str">
        <f t="shared" si="0"/>
        <v>Véhicules neufsRev. Autres</v>
      </c>
      <c r="B26" s="550" t="s">
        <v>96</v>
      </c>
      <c r="C26" s="777"/>
      <c r="D26" s="778">
        <v>470.32716981132035</v>
      </c>
      <c r="E26" s="779">
        <v>124636.6999999999</v>
      </c>
      <c r="F26" s="777"/>
      <c r="G26" s="778">
        <v>536.58624999999995</v>
      </c>
      <c r="H26" s="779">
        <v>4292.6899999999996</v>
      </c>
      <c r="I26" s="777"/>
      <c r="J26" s="778">
        <v>408.33333333333331</v>
      </c>
      <c r="K26" s="779">
        <v>3675</v>
      </c>
      <c r="L26" s="777"/>
      <c r="M26" s="778">
        <v>532.99523809523805</v>
      </c>
      <c r="N26" s="779">
        <v>11192.9</v>
      </c>
      <c r="O26" s="777"/>
      <c r="P26" s="778">
        <v>448.6346666666667</v>
      </c>
      <c r="Q26" s="779">
        <v>13459.04</v>
      </c>
      <c r="R26" s="777"/>
      <c r="S26" s="778">
        <v>440.92179487179487</v>
      </c>
      <c r="T26" s="779">
        <v>17195.95</v>
      </c>
      <c r="U26" s="777"/>
      <c r="V26" s="778">
        <v>536.78333333333273</v>
      </c>
      <c r="W26" s="779">
        <v>9662.0999999999894</v>
      </c>
      <c r="X26" s="777"/>
      <c r="Y26" s="778">
        <v>442.14285714285717</v>
      </c>
      <c r="Z26" s="779">
        <v>6190</v>
      </c>
      <c r="AA26" s="777"/>
      <c r="AB26" s="778">
        <v>419.92857142857144</v>
      </c>
      <c r="AC26" s="779">
        <v>5879</v>
      </c>
      <c r="AD26" s="777"/>
      <c r="AE26" s="778">
        <v>564.99620689655171</v>
      </c>
      <c r="AF26" s="779">
        <v>16384.89</v>
      </c>
      <c r="AG26" s="777"/>
      <c r="AH26" s="778">
        <v>416.13652173913039</v>
      </c>
      <c r="AI26" s="779">
        <v>9571.14</v>
      </c>
      <c r="AJ26" s="777"/>
      <c r="AK26" s="778">
        <v>446.45571428571429</v>
      </c>
      <c r="AL26" s="779">
        <v>15625.95</v>
      </c>
      <c r="AM26" s="777"/>
      <c r="AN26" s="778">
        <v>460.32159999999601</v>
      </c>
      <c r="AO26" s="779">
        <v>11508.039999999901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25">
      <c r="A27" s="540" t="str">
        <f t="shared" si="0"/>
        <v>Véhicules neufsTotal F&amp;I</v>
      </c>
      <c r="B27" s="604" t="s">
        <v>97</v>
      </c>
      <c r="C27" s="782">
        <v>265</v>
      </c>
      <c r="D27" s="783">
        <v>1643.1152452830172</v>
      </c>
      <c r="E27" s="784">
        <v>435425.53999999957</v>
      </c>
      <c r="F27" s="782">
        <v>8</v>
      </c>
      <c r="G27" s="783">
        <v>1758.0862499999998</v>
      </c>
      <c r="H27" s="784">
        <v>14064.689999999999</v>
      </c>
      <c r="I27" s="782">
        <v>9</v>
      </c>
      <c r="J27" s="783">
        <v>1699.3444444444333</v>
      </c>
      <c r="K27" s="784">
        <v>15294.0999999999</v>
      </c>
      <c r="L27" s="782">
        <v>21</v>
      </c>
      <c r="M27" s="783">
        <v>1771.4090476190474</v>
      </c>
      <c r="N27" s="784">
        <v>37199.589999999997</v>
      </c>
      <c r="O27" s="782">
        <v>30</v>
      </c>
      <c r="P27" s="783">
        <v>1741.9759999999999</v>
      </c>
      <c r="Q27" s="784">
        <v>52259.28</v>
      </c>
      <c r="R27" s="782">
        <v>39</v>
      </c>
      <c r="S27" s="783">
        <v>1568.1420512820514</v>
      </c>
      <c r="T27" s="784">
        <v>61157.540000000008</v>
      </c>
      <c r="U27" s="782">
        <v>18</v>
      </c>
      <c r="V27" s="783">
        <v>1654.8777777777714</v>
      </c>
      <c r="W27" s="784">
        <v>29787.799999999886</v>
      </c>
      <c r="X27" s="782">
        <v>14</v>
      </c>
      <c r="Y27" s="783">
        <v>1528.1428571428498</v>
      </c>
      <c r="Z27" s="784">
        <v>21393.999999999898</v>
      </c>
      <c r="AA27" s="782">
        <v>14</v>
      </c>
      <c r="AB27" s="783">
        <v>1560.7</v>
      </c>
      <c r="AC27" s="784">
        <v>21849.8</v>
      </c>
      <c r="AD27" s="782">
        <v>29</v>
      </c>
      <c r="AE27" s="783">
        <v>1610.8582758620689</v>
      </c>
      <c r="AF27" s="784">
        <v>46714.89</v>
      </c>
      <c r="AG27" s="782">
        <v>23</v>
      </c>
      <c r="AH27" s="783">
        <v>1270.5756521739129</v>
      </c>
      <c r="AI27" s="784">
        <v>29223.239999999998</v>
      </c>
      <c r="AJ27" s="782">
        <v>35</v>
      </c>
      <c r="AK27" s="783">
        <v>1901.7525714285714</v>
      </c>
      <c r="AL27" s="784">
        <v>66561.34</v>
      </c>
      <c r="AM27" s="782">
        <v>25</v>
      </c>
      <c r="AN27" s="783">
        <v>1596.7707999999961</v>
      </c>
      <c r="AO27" s="784">
        <v>39919.269999999902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25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" thickTop="1">
      <c r="A30" s="540" t="str">
        <f t="shared" si="0"/>
        <v>Véhicules neufsTotal Dépt. Neufs</v>
      </c>
      <c r="B30" s="606" t="s">
        <v>98</v>
      </c>
      <c r="C30" s="795">
        <v>270</v>
      </c>
      <c r="D30" s="796">
        <v>6082.8399999999956</v>
      </c>
      <c r="E30" s="797">
        <v>1642366.7999999989</v>
      </c>
      <c r="F30" s="795">
        <v>9</v>
      </c>
      <c r="G30" s="796">
        <v>6568.5255555555423</v>
      </c>
      <c r="H30" s="797">
        <v>59116.72999999988</v>
      </c>
      <c r="I30" s="795">
        <v>9</v>
      </c>
      <c r="J30" s="796">
        <v>5832.6722222221997</v>
      </c>
      <c r="K30" s="797">
        <v>52494.049999999799</v>
      </c>
      <c r="L30" s="795">
        <v>21</v>
      </c>
      <c r="M30" s="796">
        <v>6771.5428571428456</v>
      </c>
      <c r="N30" s="797">
        <v>142202.39999999976</v>
      </c>
      <c r="O30" s="795">
        <v>30</v>
      </c>
      <c r="P30" s="796">
        <v>6541.52066666667</v>
      </c>
      <c r="Q30" s="797">
        <v>196245.62000000011</v>
      </c>
      <c r="R30" s="795">
        <v>39</v>
      </c>
      <c r="S30" s="796">
        <v>5931.3551282051285</v>
      </c>
      <c r="T30" s="797">
        <v>231322.85</v>
      </c>
      <c r="U30" s="795">
        <v>18</v>
      </c>
      <c r="V30" s="796">
        <v>6134.6049999999877</v>
      </c>
      <c r="W30" s="797">
        <v>110422.88999999978</v>
      </c>
      <c r="X30" s="795">
        <v>14</v>
      </c>
      <c r="Y30" s="796">
        <v>6892.1621428571234</v>
      </c>
      <c r="Z30" s="797">
        <v>96490.269999999728</v>
      </c>
      <c r="AA30" s="795">
        <v>15</v>
      </c>
      <c r="AB30" s="796">
        <v>5262.0573333333259</v>
      </c>
      <c r="AC30" s="797">
        <v>78930.859999999884</v>
      </c>
      <c r="AD30" s="795">
        <v>29</v>
      </c>
      <c r="AE30" s="796">
        <v>5740.3882758620603</v>
      </c>
      <c r="AF30" s="797">
        <v>166471.25999999975</v>
      </c>
      <c r="AG30" s="795">
        <v>24</v>
      </c>
      <c r="AH30" s="796">
        <v>6050.5683333333391</v>
      </c>
      <c r="AI30" s="797">
        <v>145213.64000000013</v>
      </c>
      <c r="AJ30" s="795">
        <v>37</v>
      </c>
      <c r="AK30" s="796">
        <v>5007.3524324324308</v>
      </c>
      <c r="AL30" s="797">
        <v>185272.03999999995</v>
      </c>
      <c r="AM30" s="795">
        <v>25</v>
      </c>
      <c r="AN30" s="796">
        <v>7127.3676000000032</v>
      </c>
      <c r="AO30" s="797">
        <v>178184.19000000009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25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25">
      <c r="A34" s="540" t="str">
        <f t="shared" si="0"/>
        <v>Véhicules neufsComm. vendeurs</v>
      </c>
      <c r="B34" s="550" t="s">
        <v>100</v>
      </c>
      <c r="C34" s="805">
        <v>0.29664051885651077</v>
      </c>
      <c r="D34" s="806">
        <v>1284.8014339622641</v>
      </c>
      <c r="E34" s="807">
        <v>340472.38</v>
      </c>
      <c r="F34" s="805">
        <v>0.33530405240831668</v>
      </c>
      <c r="G34" s="806">
        <v>1720.7837500000001</v>
      </c>
      <c r="H34" s="807">
        <v>13766.27</v>
      </c>
      <c r="I34" s="805">
        <v>0.289775549947341</v>
      </c>
      <c r="J34" s="806">
        <v>1166.5899999999999</v>
      </c>
      <c r="K34" s="807">
        <v>10499.31</v>
      </c>
      <c r="L34" s="805">
        <v>0.26922112994490988</v>
      </c>
      <c r="M34" s="806">
        <v>1307.9838095238094</v>
      </c>
      <c r="N34" s="807">
        <v>27467.66</v>
      </c>
      <c r="O34" s="805">
        <v>0.26502027354786883</v>
      </c>
      <c r="P34" s="806">
        <v>1241.0983333333331</v>
      </c>
      <c r="Q34" s="807">
        <v>37232.949999999997</v>
      </c>
      <c r="R34" s="805">
        <v>0.32227369744803863</v>
      </c>
      <c r="S34" s="806">
        <v>1332.5951282051283</v>
      </c>
      <c r="T34" s="807">
        <v>51971.21</v>
      </c>
      <c r="U34" s="805">
        <v>0.26405313205751446</v>
      </c>
      <c r="V34" s="806">
        <v>1094.9577777777779</v>
      </c>
      <c r="W34" s="807">
        <v>19709.240000000002</v>
      </c>
      <c r="X34" s="805">
        <v>0.26899798444899964</v>
      </c>
      <c r="Y34" s="806">
        <v>1336.3285714285714</v>
      </c>
      <c r="Z34" s="807">
        <v>18708.599999999999</v>
      </c>
      <c r="AA34" s="805">
        <v>0.38257540925095052</v>
      </c>
      <c r="AB34" s="806">
        <v>1051.9714285714285</v>
      </c>
      <c r="AC34" s="807">
        <v>14727.6</v>
      </c>
      <c r="AD34" s="805">
        <v>0.28573266236725259</v>
      </c>
      <c r="AE34" s="806">
        <v>1156.576551724138</v>
      </c>
      <c r="AF34" s="807">
        <v>33540.720000000001</v>
      </c>
      <c r="AG34" s="805">
        <v>0.27481744951860088</v>
      </c>
      <c r="AH34" s="806">
        <v>1340.6695652173914</v>
      </c>
      <c r="AI34" s="807">
        <v>30835.4</v>
      </c>
      <c r="AJ34" s="805">
        <v>0.39274263433751966</v>
      </c>
      <c r="AK34" s="806">
        <v>1320.2674285714286</v>
      </c>
      <c r="AL34" s="807">
        <v>46209.36</v>
      </c>
      <c r="AM34" s="805">
        <v>0.26180588724436199</v>
      </c>
      <c r="AN34" s="806">
        <v>1432.1623999999999</v>
      </c>
      <c r="AO34" s="807">
        <v>35804.06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25">
      <c r="A35" s="540" t="str">
        <f t="shared" si="0"/>
        <v>Véhicules neufsComm. F&amp;I</v>
      </c>
      <c r="B35" s="610" t="s">
        <v>101</v>
      </c>
      <c r="C35" s="808">
        <v>0.37692040296947249</v>
      </c>
      <c r="D35" s="809">
        <v>619.32366037735846</v>
      </c>
      <c r="E35" s="810">
        <v>164120.76999999999</v>
      </c>
      <c r="F35" s="808">
        <v>0.42523724305334853</v>
      </c>
      <c r="G35" s="809">
        <v>747.60374999999999</v>
      </c>
      <c r="H35" s="810">
        <v>5980.83</v>
      </c>
      <c r="I35" s="808">
        <v>0.38730752381637618</v>
      </c>
      <c r="J35" s="809">
        <v>658.16888888888889</v>
      </c>
      <c r="K35" s="810">
        <v>5923.52</v>
      </c>
      <c r="L35" s="808">
        <v>0.4212922776837057</v>
      </c>
      <c r="M35" s="809">
        <v>746.28095238095239</v>
      </c>
      <c r="N35" s="810">
        <v>15671.9</v>
      </c>
      <c r="O35" s="808">
        <v>0.40734219836170726</v>
      </c>
      <c r="P35" s="809">
        <v>709.58033333333333</v>
      </c>
      <c r="Q35" s="810">
        <v>21287.41</v>
      </c>
      <c r="R35" s="808">
        <v>0.37678559340352791</v>
      </c>
      <c r="S35" s="809">
        <v>590.85333333333335</v>
      </c>
      <c r="T35" s="810">
        <v>23043.279999999999</v>
      </c>
      <c r="U35" s="808">
        <v>0.35239091171553594</v>
      </c>
      <c r="V35" s="809">
        <v>583.16388888888889</v>
      </c>
      <c r="W35" s="810">
        <v>10496.95</v>
      </c>
      <c r="X35" s="808">
        <v>0.34586940263625476</v>
      </c>
      <c r="Y35" s="809">
        <v>528.53785714285709</v>
      </c>
      <c r="Z35" s="810">
        <v>7399.53</v>
      </c>
      <c r="AA35" s="808">
        <v>0.35585955020183252</v>
      </c>
      <c r="AB35" s="809">
        <v>555.39</v>
      </c>
      <c r="AC35" s="810">
        <v>7775.46</v>
      </c>
      <c r="AD35" s="808">
        <v>0.36937387629511703</v>
      </c>
      <c r="AE35" s="809">
        <v>595.00896551724134</v>
      </c>
      <c r="AF35" s="810">
        <v>17255.259999999998</v>
      </c>
      <c r="AG35" s="808">
        <v>0.27134705118255198</v>
      </c>
      <c r="AH35" s="809">
        <v>344.76695652173913</v>
      </c>
      <c r="AI35" s="810">
        <v>7929.64</v>
      </c>
      <c r="AJ35" s="808">
        <v>0.421297407774543</v>
      </c>
      <c r="AK35" s="809">
        <v>801.2034285714285</v>
      </c>
      <c r="AL35" s="810">
        <v>28042.12</v>
      </c>
      <c r="AM35" s="808">
        <v>0.3335449270490175</v>
      </c>
      <c r="AN35" s="809">
        <v>532.59480000000008</v>
      </c>
      <c r="AO35" s="810">
        <v>13314.87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25">
      <c r="A36" s="540" t="str">
        <f t="shared" si="0"/>
        <v>Véhicules neufsFrais de livraison</v>
      </c>
      <c r="B36" s="550" t="s">
        <v>102</v>
      </c>
      <c r="C36" s="785"/>
      <c r="D36" s="806">
        <v>120.09116981132075</v>
      </c>
      <c r="E36" s="807">
        <v>31824.16</v>
      </c>
      <c r="F36" s="785"/>
      <c r="G36" s="806">
        <v>113.19</v>
      </c>
      <c r="H36" s="807">
        <v>905.52</v>
      </c>
      <c r="I36" s="785"/>
      <c r="J36" s="806">
        <v>238.40555555555557</v>
      </c>
      <c r="K36" s="807">
        <v>2145.65</v>
      </c>
      <c r="L36" s="785"/>
      <c r="M36" s="806">
        <v>117.48428571428572</v>
      </c>
      <c r="N36" s="807">
        <v>2467.17</v>
      </c>
      <c r="O36" s="785"/>
      <c r="P36" s="806">
        <v>73.194666666666677</v>
      </c>
      <c r="Q36" s="807">
        <v>2195.84</v>
      </c>
      <c r="R36" s="785"/>
      <c r="S36" s="806">
        <v>82.459230769230771</v>
      </c>
      <c r="T36" s="807">
        <v>3215.91</v>
      </c>
      <c r="U36" s="785"/>
      <c r="V36" s="806">
        <v>105.80833333333334</v>
      </c>
      <c r="W36" s="807">
        <v>1904.55</v>
      </c>
      <c r="X36" s="785"/>
      <c r="Y36" s="806">
        <v>228.45785714285714</v>
      </c>
      <c r="Z36" s="807">
        <v>3198.41</v>
      </c>
      <c r="AA36" s="785"/>
      <c r="AB36" s="806">
        <v>306.69785714285717</v>
      </c>
      <c r="AC36" s="807">
        <v>4293.7700000000004</v>
      </c>
      <c r="AD36" s="785"/>
      <c r="AE36" s="806">
        <v>128.05551724137931</v>
      </c>
      <c r="AF36" s="807">
        <v>3713.61</v>
      </c>
      <c r="AG36" s="785"/>
      <c r="AH36" s="806">
        <v>125.91260869565217</v>
      </c>
      <c r="AI36" s="807">
        <v>2895.99</v>
      </c>
      <c r="AJ36" s="785"/>
      <c r="AK36" s="806">
        <v>67.887428571428572</v>
      </c>
      <c r="AL36" s="807">
        <v>2376.06</v>
      </c>
      <c r="AM36" s="785"/>
      <c r="AN36" s="806">
        <v>100.46719999999999</v>
      </c>
      <c r="AO36" s="807">
        <v>2511.6799999999998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25">
      <c r="A37" s="540" t="str">
        <f t="shared" si="0"/>
        <v>Véhicules neufsService gratuit 1</v>
      </c>
      <c r="B37" s="550" t="s">
        <v>103</v>
      </c>
      <c r="C37" s="785"/>
      <c r="D37" s="806">
        <v>38.978339622641514</v>
      </c>
      <c r="E37" s="807">
        <v>10329.26</v>
      </c>
      <c r="F37" s="785"/>
      <c r="G37" s="806">
        <v>142.45124999999999</v>
      </c>
      <c r="H37" s="807">
        <v>1139.6099999999999</v>
      </c>
      <c r="I37" s="785"/>
      <c r="J37" s="806">
        <v>57.473333333333329</v>
      </c>
      <c r="K37" s="807">
        <v>517.26</v>
      </c>
      <c r="L37" s="785"/>
      <c r="M37" s="806">
        <v>9.5395238095238106</v>
      </c>
      <c r="N37" s="807">
        <v>200.33</v>
      </c>
      <c r="O37" s="785"/>
      <c r="P37" s="806">
        <v>26.899000000000001</v>
      </c>
      <c r="Q37" s="807">
        <v>806.97</v>
      </c>
      <c r="R37" s="785"/>
      <c r="S37" s="806">
        <v>29.536923076923078</v>
      </c>
      <c r="T37" s="807">
        <v>1151.94</v>
      </c>
      <c r="U37" s="785"/>
      <c r="V37" s="806">
        <v>18.017777777777777</v>
      </c>
      <c r="W37" s="807">
        <v>324.32</v>
      </c>
      <c r="X37" s="785"/>
      <c r="Y37" s="806">
        <v>51.135714285714286</v>
      </c>
      <c r="Z37" s="807">
        <v>715.9</v>
      </c>
      <c r="AA37" s="785"/>
      <c r="AB37" s="806">
        <v>-3.7521428571428572</v>
      </c>
      <c r="AC37" s="807">
        <v>-52.53</v>
      </c>
      <c r="AD37" s="785"/>
      <c r="AE37" s="806">
        <v>73.190344827586202</v>
      </c>
      <c r="AF37" s="807">
        <v>2122.52</v>
      </c>
      <c r="AG37" s="785"/>
      <c r="AH37" s="806">
        <v>30.17217391304348</v>
      </c>
      <c r="AI37" s="807">
        <v>693.96</v>
      </c>
      <c r="AJ37" s="785"/>
      <c r="AK37" s="806">
        <v>50.454571428571434</v>
      </c>
      <c r="AL37" s="807">
        <v>1765.91</v>
      </c>
      <c r="AM37" s="785"/>
      <c r="AN37" s="806">
        <v>37.722799999999999</v>
      </c>
      <c r="AO37" s="807">
        <v>943.07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25">
      <c r="A38" s="540" t="str">
        <f t="shared" si="0"/>
        <v>Véhicules neufsEntretien stock</v>
      </c>
      <c r="B38" s="610" t="s">
        <v>104</v>
      </c>
      <c r="C38" s="811"/>
      <c r="D38" s="809">
        <v>65.460339622641499</v>
      </c>
      <c r="E38" s="810">
        <v>17346.989999999998</v>
      </c>
      <c r="F38" s="811"/>
      <c r="G38" s="809">
        <v>120.0625</v>
      </c>
      <c r="H38" s="810">
        <v>960.5</v>
      </c>
      <c r="I38" s="811"/>
      <c r="J38" s="809">
        <v>164.54444444444445</v>
      </c>
      <c r="K38" s="810">
        <v>1480.9</v>
      </c>
      <c r="L38" s="811"/>
      <c r="M38" s="809">
        <v>30.904761904761905</v>
      </c>
      <c r="N38" s="810">
        <v>649</v>
      </c>
      <c r="O38" s="811"/>
      <c r="P38" s="809">
        <v>62.396000000000001</v>
      </c>
      <c r="Q38" s="810">
        <v>1871.88</v>
      </c>
      <c r="R38" s="811"/>
      <c r="S38" s="809">
        <v>25.282051282051281</v>
      </c>
      <c r="T38" s="810">
        <v>986</v>
      </c>
      <c r="U38" s="811"/>
      <c r="V38" s="809">
        <v>50.046111111111117</v>
      </c>
      <c r="W38" s="810">
        <v>900.83</v>
      </c>
      <c r="X38" s="811"/>
      <c r="Y38" s="809">
        <v>53.571428571428569</v>
      </c>
      <c r="Z38" s="810">
        <v>750</v>
      </c>
      <c r="AA38" s="811"/>
      <c r="AB38" s="809">
        <v>115.575</v>
      </c>
      <c r="AC38" s="810">
        <v>1618.05</v>
      </c>
      <c r="AD38" s="811"/>
      <c r="AE38" s="809">
        <v>60.215862068965514</v>
      </c>
      <c r="AF38" s="810">
        <v>1746.26</v>
      </c>
      <c r="AG38" s="811"/>
      <c r="AH38" s="809">
        <v>79.394347826086957</v>
      </c>
      <c r="AI38" s="810">
        <v>1826.07</v>
      </c>
      <c r="AJ38" s="811"/>
      <c r="AK38" s="809">
        <v>70.689428571428579</v>
      </c>
      <c r="AL38" s="810">
        <v>2474.13</v>
      </c>
      <c r="AM38" s="811"/>
      <c r="AN38" s="809">
        <v>83.334800000000001</v>
      </c>
      <c r="AO38" s="810">
        <v>2083.37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25">
      <c r="A39" s="540" t="str">
        <f t="shared" si="0"/>
        <v>Véhicules neufsPublicité 1</v>
      </c>
      <c r="B39" s="550" t="s">
        <v>105</v>
      </c>
      <c r="C39" s="785"/>
      <c r="D39" s="806">
        <v>632.89354716981086</v>
      </c>
      <c r="E39" s="807">
        <v>167716.78999999989</v>
      </c>
      <c r="F39" s="785"/>
      <c r="G39" s="806">
        <v>495.99124999999998</v>
      </c>
      <c r="H39" s="807">
        <v>3967.93</v>
      </c>
      <c r="I39" s="785"/>
      <c r="J39" s="806">
        <v>981.97777777777765</v>
      </c>
      <c r="K39" s="807">
        <v>8837.7999999999993</v>
      </c>
      <c r="L39" s="785"/>
      <c r="M39" s="806">
        <v>675.90761904761905</v>
      </c>
      <c r="N39" s="807">
        <v>14194.06</v>
      </c>
      <c r="O39" s="785"/>
      <c r="P39" s="806">
        <v>512.11266666666666</v>
      </c>
      <c r="Q39" s="807">
        <v>15363.38</v>
      </c>
      <c r="R39" s="785"/>
      <c r="S39" s="806">
        <v>373.90333333333331</v>
      </c>
      <c r="T39" s="807">
        <v>14582.23</v>
      </c>
      <c r="U39" s="785"/>
      <c r="V39" s="806">
        <v>750.24333333333334</v>
      </c>
      <c r="W39" s="807">
        <v>13504.38</v>
      </c>
      <c r="X39" s="785"/>
      <c r="Y39" s="806">
        <v>759.74142857142851</v>
      </c>
      <c r="Z39" s="807">
        <v>10636.38</v>
      </c>
      <c r="AA39" s="785"/>
      <c r="AB39" s="806">
        <v>841.81499999999994</v>
      </c>
      <c r="AC39" s="807">
        <v>11785.41</v>
      </c>
      <c r="AD39" s="785"/>
      <c r="AE39" s="806">
        <v>712.53413793103459</v>
      </c>
      <c r="AF39" s="807">
        <v>20663.490000000002</v>
      </c>
      <c r="AG39" s="785"/>
      <c r="AH39" s="806">
        <v>956.57608695652175</v>
      </c>
      <c r="AI39" s="807">
        <v>22001.25</v>
      </c>
      <c r="AJ39" s="785"/>
      <c r="AK39" s="806">
        <v>338.08399999999716</v>
      </c>
      <c r="AL39" s="807">
        <v>11832.9399999999</v>
      </c>
      <c r="AM39" s="785"/>
      <c r="AN39" s="806">
        <v>813.90160000000003</v>
      </c>
      <c r="AO39" s="807">
        <v>20347.54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25">
      <c r="A40" s="540" t="str">
        <f t="shared" si="0"/>
        <v>Véhicules neufsIntérêt de gros</v>
      </c>
      <c r="B40" s="550" t="s">
        <v>106</v>
      </c>
      <c r="C40" s="785"/>
      <c r="D40" s="806">
        <v>1381.9588679245282</v>
      </c>
      <c r="E40" s="807">
        <v>366219.1</v>
      </c>
      <c r="F40" s="785"/>
      <c r="G40" s="806">
        <v>3359.8812499999999</v>
      </c>
      <c r="H40" s="807">
        <v>26879.05</v>
      </c>
      <c r="I40" s="785"/>
      <c r="J40" s="806">
        <v>3226.1566666666668</v>
      </c>
      <c r="K40" s="807">
        <v>29035.41</v>
      </c>
      <c r="L40" s="785"/>
      <c r="M40" s="806">
        <v>1752.6861904761906</v>
      </c>
      <c r="N40" s="807">
        <v>36806.410000000003</v>
      </c>
      <c r="O40" s="785"/>
      <c r="P40" s="806">
        <v>1210.5003333333334</v>
      </c>
      <c r="Q40" s="807">
        <v>36315.01</v>
      </c>
      <c r="R40" s="785"/>
      <c r="S40" s="806">
        <v>899.60974358974352</v>
      </c>
      <c r="T40" s="807">
        <v>35084.78</v>
      </c>
      <c r="U40" s="785"/>
      <c r="V40" s="806">
        <v>1767.2572222222223</v>
      </c>
      <c r="W40" s="807">
        <v>31810.63</v>
      </c>
      <c r="X40" s="785"/>
      <c r="Y40" s="806">
        <v>2453.1978571428567</v>
      </c>
      <c r="Z40" s="807">
        <v>34344.769999999997</v>
      </c>
      <c r="AA40" s="785"/>
      <c r="AB40" s="806">
        <v>2515.3971428571426</v>
      </c>
      <c r="AC40" s="807">
        <v>35215.56</v>
      </c>
      <c r="AD40" s="785"/>
      <c r="AE40" s="806">
        <v>721.52344827586205</v>
      </c>
      <c r="AF40" s="807">
        <v>20924.18</v>
      </c>
      <c r="AG40" s="785"/>
      <c r="AH40" s="806">
        <v>801.96173913043469</v>
      </c>
      <c r="AI40" s="807">
        <v>18445.12</v>
      </c>
      <c r="AJ40" s="785"/>
      <c r="AK40" s="806">
        <v>986.47199999999987</v>
      </c>
      <c r="AL40" s="807">
        <v>34526.519999999997</v>
      </c>
      <c r="AM40" s="785"/>
      <c r="AN40" s="806">
        <v>1073.2664</v>
      </c>
      <c r="AO40" s="807">
        <v>26831.66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25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25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25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25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0.66856529856789648</v>
      </c>
      <c r="E44" s="814">
        <v>1098029.45</v>
      </c>
      <c r="F44" s="812" t="s">
        <v>108</v>
      </c>
      <c r="G44" s="813">
        <v>0.9066758259463964</v>
      </c>
      <c r="H44" s="814">
        <v>53599.71</v>
      </c>
      <c r="I44" s="812" t="s">
        <v>108</v>
      </c>
      <c r="J44" s="813">
        <v>1.1132661701659565</v>
      </c>
      <c r="K44" s="814">
        <v>58439.850000000006</v>
      </c>
      <c r="L44" s="812" t="s">
        <v>108</v>
      </c>
      <c r="M44" s="813">
        <v>0.68533674537138722</v>
      </c>
      <c r="N44" s="814">
        <v>97456.53</v>
      </c>
      <c r="O44" s="812" t="s">
        <v>108</v>
      </c>
      <c r="P44" s="813">
        <v>0.5863745646909212</v>
      </c>
      <c r="Q44" s="814">
        <v>115073.44</v>
      </c>
      <c r="R44" s="812" t="s">
        <v>108</v>
      </c>
      <c r="S44" s="813">
        <v>0.56213793838351889</v>
      </c>
      <c r="T44" s="814">
        <v>130035.34999999999</v>
      </c>
      <c r="U44" s="812" t="s">
        <v>108</v>
      </c>
      <c r="V44" s="813">
        <v>0.71226989259201734</v>
      </c>
      <c r="W44" s="814">
        <v>78650.899999999994</v>
      </c>
      <c r="X44" s="812" t="s">
        <v>108</v>
      </c>
      <c r="Y44" s="813">
        <v>0.78509045523450405</v>
      </c>
      <c r="Z44" s="814">
        <v>75753.59</v>
      </c>
      <c r="AA44" s="812" t="s">
        <v>108</v>
      </c>
      <c r="AB44" s="813">
        <v>0.95480170873597625</v>
      </c>
      <c r="AC44" s="814">
        <v>75363.320000000007</v>
      </c>
      <c r="AD44" s="812" t="s">
        <v>108</v>
      </c>
      <c r="AE44" s="813">
        <v>0.60050029056066589</v>
      </c>
      <c r="AF44" s="814">
        <v>99966.040000000008</v>
      </c>
      <c r="AG44" s="812" t="s">
        <v>108</v>
      </c>
      <c r="AH44" s="813">
        <v>0.58277879405818844</v>
      </c>
      <c r="AI44" s="814">
        <v>84627.43</v>
      </c>
      <c r="AJ44" s="812" t="s">
        <v>108</v>
      </c>
      <c r="AK44" s="813">
        <v>0.68670394086447106</v>
      </c>
      <c r="AL44" s="814">
        <v>127227.03999999989</v>
      </c>
      <c r="AM44" s="812" t="s">
        <v>108</v>
      </c>
      <c r="AN44" s="813">
        <v>0.57152236682726987</v>
      </c>
      <c r="AO44" s="814">
        <v>101836.25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25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145432.01999999999</v>
      </c>
      <c r="F45" s="785"/>
      <c r="G45" s="793"/>
      <c r="H45" s="807">
        <v>12096.22</v>
      </c>
      <c r="I45" s="785"/>
      <c r="J45" s="793"/>
      <c r="K45" s="807">
        <v>12651.8</v>
      </c>
      <c r="L45" s="785"/>
      <c r="M45" s="793"/>
      <c r="N45" s="807">
        <v>11492.2</v>
      </c>
      <c r="O45" s="785"/>
      <c r="P45" s="793"/>
      <c r="Q45" s="807">
        <v>12302.2</v>
      </c>
      <c r="R45" s="785"/>
      <c r="S45" s="793"/>
      <c r="T45" s="807">
        <v>12792.2</v>
      </c>
      <c r="U45" s="785"/>
      <c r="V45" s="793"/>
      <c r="W45" s="807">
        <v>9969.7000000000007</v>
      </c>
      <c r="X45" s="785"/>
      <c r="Y45" s="793"/>
      <c r="Z45" s="807">
        <v>11969.7</v>
      </c>
      <c r="AA45" s="785"/>
      <c r="AB45" s="793"/>
      <c r="AC45" s="807">
        <v>11451.95</v>
      </c>
      <c r="AD45" s="785"/>
      <c r="AE45" s="793"/>
      <c r="AF45" s="807">
        <v>13019.7</v>
      </c>
      <c r="AG45" s="785"/>
      <c r="AH45" s="793"/>
      <c r="AI45" s="807">
        <v>13952.2</v>
      </c>
      <c r="AJ45" s="785"/>
      <c r="AK45" s="793"/>
      <c r="AL45" s="807">
        <v>13561.95</v>
      </c>
      <c r="AM45" s="785"/>
      <c r="AN45" s="793"/>
      <c r="AO45" s="807">
        <v>10172.200000000001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25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109318.68000000001</v>
      </c>
      <c r="F46" s="785"/>
      <c r="G46" s="793"/>
      <c r="H46" s="807">
        <v>7908.3</v>
      </c>
      <c r="I46" s="785"/>
      <c r="J46" s="793"/>
      <c r="K46" s="807">
        <v>8941.86</v>
      </c>
      <c r="L46" s="785"/>
      <c r="M46" s="793"/>
      <c r="N46" s="807">
        <v>8376.56</v>
      </c>
      <c r="O46" s="785"/>
      <c r="P46" s="793"/>
      <c r="Q46" s="807">
        <v>8037.27</v>
      </c>
      <c r="R46" s="785"/>
      <c r="S46" s="793"/>
      <c r="T46" s="807">
        <v>9961.3799999999992</v>
      </c>
      <c r="U46" s="785"/>
      <c r="V46" s="793"/>
      <c r="W46" s="807">
        <v>8615.69</v>
      </c>
      <c r="X46" s="785"/>
      <c r="Y46" s="793"/>
      <c r="Z46" s="807">
        <v>8642.68</v>
      </c>
      <c r="AA46" s="785"/>
      <c r="AB46" s="793"/>
      <c r="AC46" s="807">
        <v>8557.83</v>
      </c>
      <c r="AD46" s="785"/>
      <c r="AE46" s="793"/>
      <c r="AF46" s="807">
        <v>9046.16</v>
      </c>
      <c r="AG46" s="785"/>
      <c r="AH46" s="793"/>
      <c r="AI46" s="807">
        <v>9673.2099999999991</v>
      </c>
      <c r="AJ46" s="785"/>
      <c r="AK46" s="793"/>
      <c r="AL46" s="807">
        <v>10795.04</v>
      </c>
      <c r="AM46" s="785"/>
      <c r="AN46" s="793"/>
      <c r="AO46" s="807">
        <v>10762.7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25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25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25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25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25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25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100107.47999999998</v>
      </c>
      <c r="F52" s="785"/>
      <c r="G52" s="793"/>
      <c r="H52" s="807">
        <v>10797.57</v>
      </c>
      <c r="I52" s="785"/>
      <c r="J52" s="793"/>
      <c r="K52" s="807">
        <v>11191.66</v>
      </c>
      <c r="L52" s="785"/>
      <c r="M52" s="793"/>
      <c r="N52" s="807">
        <v>4727.83</v>
      </c>
      <c r="O52" s="785"/>
      <c r="P52" s="793"/>
      <c r="Q52" s="807">
        <v>4466.22</v>
      </c>
      <c r="R52" s="785"/>
      <c r="S52" s="793"/>
      <c r="T52" s="807">
        <v>9459.39</v>
      </c>
      <c r="U52" s="785"/>
      <c r="V52" s="793"/>
      <c r="W52" s="807">
        <v>10700.38</v>
      </c>
      <c r="X52" s="785"/>
      <c r="Y52" s="793"/>
      <c r="Z52" s="807">
        <v>7289.01</v>
      </c>
      <c r="AA52" s="785"/>
      <c r="AB52" s="793"/>
      <c r="AC52" s="807">
        <v>5930.68</v>
      </c>
      <c r="AD52" s="785"/>
      <c r="AE52" s="793"/>
      <c r="AF52" s="807">
        <v>7379.94</v>
      </c>
      <c r="AG52" s="785"/>
      <c r="AH52" s="793"/>
      <c r="AI52" s="807">
        <v>7007.4</v>
      </c>
      <c r="AJ52" s="785"/>
      <c r="AK52" s="793"/>
      <c r="AL52" s="807">
        <v>6518.5</v>
      </c>
      <c r="AM52" s="785"/>
      <c r="AN52" s="793"/>
      <c r="AO52" s="807">
        <v>14638.9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25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103363.31</v>
      </c>
      <c r="F53" s="815"/>
      <c r="G53" s="816"/>
      <c r="H53" s="817">
        <v>10270.36</v>
      </c>
      <c r="I53" s="815"/>
      <c r="J53" s="816"/>
      <c r="K53" s="817">
        <v>8943.52</v>
      </c>
      <c r="L53" s="815"/>
      <c r="M53" s="816"/>
      <c r="N53" s="817">
        <v>9317.44</v>
      </c>
      <c r="O53" s="815"/>
      <c r="P53" s="816"/>
      <c r="Q53" s="817">
        <v>10796.69</v>
      </c>
      <c r="R53" s="815"/>
      <c r="S53" s="816"/>
      <c r="T53" s="817">
        <v>13673.1</v>
      </c>
      <c r="U53" s="815"/>
      <c r="V53" s="816"/>
      <c r="W53" s="817">
        <v>8568.67</v>
      </c>
      <c r="X53" s="815"/>
      <c r="Y53" s="816"/>
      <c r="Z53" s="817">
        <v>7392.17</v>
      </c>
      <c r="AA53" s="815"/>
      <c r="AB53" s="816"/>
      <c r="AC53" s="817">
        <v>5915.02</v>
      </c>
      <c r="AD53" s="815"/>
      <c r="AE53" s="816"/>
      <c r="AF53" s="817">
        <v>6007.24</v>
      </c>
      <c r="AG53" s="815"/>
      <c r="AH53" s="816"/>
      <c r="AI53" s="817">
        <v>7096.33</v>
      </c>
      <c r="AJ53" s="815"/>
      <c r="AK53" s="816"/>
      <c r="AL53" s="817">
        <v>6563.34</v>
      </c>
      <c r="AM53" s="815"/>
      <c r="AN53" s="816"/>
      <c r="AO53" s="817">
        <v>8819.43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25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53589.77</v>
      </c>
      <c r="F54" s="785"/>
      <c r="G54" s="793"/>
      <c r="H54" s="807">
        <v>3996.97</v>
      </c>
      <c r="I54" s="785"/>
      <c r="J54" s="793"/>
      <c r="K54" s="807">
        <v>4653.5200000000004</v>
      </c>
      <c r="L54" s="785"/>
      <c r="M54" s="793"/>
      <c r="N54" s="807">
        <v>3583.12</v>
      </c>
      <c r="O54" s="785"/>
      <c r="P54" s="793"/>
      <c r="Q54" s="807">
        <v>4198.83</v>
      </c>
      <c r="R54" s="785"/>
      <c r="S54" s="793"/>
      <c r="T54" s="807">
        <v>5353.05</v>
      </c>
      <c r="U54" s="785"/>
      <c r="V54" s="793"/>
      <c r="W54" s="807">
        <v>4031.8</v>
      </c>
      <c r="X54" s="785"/>
      <c r="Y54" s="793"/>
      <c r="Z54" s="807">
        <v>4431.3500000000004</v>
      </c>
      <c r="AA54" s="785"/>
      <c r="AB54" s="793"/>
      <c r="AC54" s="807">
        <v>4874.6400000000003</v>
      </c>
      <c r="AD54" s="785"/>
      <c r="AE54" s="793"/>
      <c r="AF54" s="807">
        <v>4219.84</v>
      </c>
      <c r="AG54" s="785"/>
      <c r="AH54" s="793"/>
      <c r="AI54" s="807">
        <v>5643.58</v>
      </c>
      <c r="AJ54" s="785"/>
      <c r="AK54" s="793"/>
      <c r="AL54" s="807">
        <v>2314.0700000000002</v>
      </c>
      <c r="AM54" s="785"/>
      <c r="AN54" s="793"/>
      <c r="AO54" s="807">
        <v>6289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25">
      <c r="A55" s="540" t="str">
        <f t="shared" si="0"/>
        <v>Véhicules neufsCsst</v>
      </c>
      <c r="B55" s="626" t="s">
        <v>116</v>
      </c>
      <c r="C55" s="785"/>
      <c r="D55" s="793"/>
      <c r="E55" s="807">
        <v>8279.19</v>
      </c>
      <c r="F55" s="785"/>
      <c r="G55" s="793"/>
      <c r="H55" s="807">
        <v>1045.42</v>
      </c>
      <c r="I55" s="785"/>
      <c r="J55" s="793"/>
      <c r="K55" s="807">
        <v>1552.53</v>
      </c>
      <c r="L55" s="785"/>
      <c r="M55" s="793"/>
      <c r="N55" s="807">
        <v>879.83</v>
      </c>
      <c r="O55" s="785"/>
      <c r="P55" s="793"/>
      <c r="Q55" s="807">
        <v>1249.8</v>
      </c>
      <c r="R55" s="785"/>
      <c r="S55" s="793"/>
      <c r="T55" s="807">
        <v>1671.23</v>
      </c>
      <c r="U55" s="785"/>
      <c r="V55" s="793"/>
      <c r="W55" s="807">
        <v>1229.54</v>
      </c>
      <c r="X55" s="785"/>
      <c r="Y55" s="793"/>
      <c r="Z55" s="807">
        <v>-241.94</v>
      </c>
      <c r="AA55" s="785"/>
      <c r="AB55" s="793"/>
      <c r="AC55" s="807">
        <v>299.43</v>
      </c>
      <c r="AD55" s="785"/>
      <c r="AE55" s="793"/>
      <c r="AF55" s="807">
        <v>169.34</v>
      </c>
      <c r="AG55" s="785"/>
      <c r="AH55" s="793"/>
      <c r="AI55" s="807">
        <v>142.19999999999999</v>
      </c>
      <c r="AJ55" s="785"/>
      <c r="AK55" s="793"/>
      <c r="AL55" s="807">
        <v>157.28</v>
      </c>
      <c r="AM55" s="785"/>
      <c r="AN55" s="793"/>
      <c r="AO55" s="807">
        <v>124.53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25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0.25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0.31917014518315906</v>
      </c>
      <c r="E57" s="814">
        <v>524194.45</v>
      </c>
      <c r="F57" s="812" t="s">
        <v>108</v>
      </c>
      <c r="G57" s="813">
        <v>0.78584928496552653</v>
      </c>
      <c r="H57" s="814">
        <v>46456.84</v>
      </c>
      <c r="I57" s="812" t="s">
        <v>108</v>
      </c>
      <c r="J57" s="813">
        <v>0.91966403811479935</v>
      </c>
      <c r="K57" s="814">
        <v>48276.89</v>
      </c>
      <c r="L57" s="812" t="s">
        <v>108</v>
      </c>
      <c r="M57" s="813">
        <v>0.27228077725833089</v>
      </c>
      <c r="N57" s="814">
        <v>38718.98000000001</v>
      </c>
      <c r="O57" s="812" t="s">
        <v>108</v>
      </c>
      <c r="P57" s="813">
        <v>0.2109245036908339</v>
      </c>
      <c r="Q57" s="814">
        <v>41393.010000000009</v>
      </c>
      <c r="R57" s="812" t="s">
        <v>108</v>
      </c>
      <c r="S57" s="813">
        <v>0.2109245036908339</v>
      </c>
      <c r="T57" s="814">
        <v>53252.350000000006</v>
      </c>
      <c r="U57" s="812" t="s">
        <v>108</v>
      </c>
      <c r="V57" s="813">
        <v>1.21092450369083</v>
      </c>
      <c r="W57" s="814">
        <v>43457.78</v>
      </c>
      <c r="X57" s="812" t="s">
        <v>108</v>
      </c>
      <c r="Y57" s="813">
        <v>1.21092450369083</v>
      </c>
      <c r="Z57" s="814">
        <v>39824.969999999994</v>
      </c>
      <c r="AA57" s="812" t="s">
        <v>108</v>
      </c>
      <c r="AB57" s="813">
        <v>1.21092450369083</v>
      </c>
      <c r="AC57" s="814">
        <v>37371.550000000003</v>
      </c>
      <c r="AD57" s="812" t="s">
        <v>108</v>
      </c>
      <c r="AE57" s="813">
        <v>1.21092450369083</v>
      </c>
      <c r="AF57" s="814">
        <v>40184.22</v>
      </c>
      <c r="AG57" s="812" t="s">
        <v>108</v>
      </c>
      <c r="AH57" s="813">
        <v>1.21092450369083</v>
      </c>
      <c r="AI57" s="814">
        <v>43856.92</v>
      </c>
      <c r="AJ57" s="812" t="s">
        <v>108</v>
      </c>
      <c r="AK57" s="813">
        <v>1.21092450369083</v>
      </c>
      <c r="AL57" s="814">
        <v>40252.18</v>
      </c>
      <c r="AM57" s="812" t="s">
        <v>108</v>
      </c>
      <c r="AN57" s="813">
        <v>1.21092450369083</v>
      </c>
      <c r="AO57" s="814">
        <v>51148.76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25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25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25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88238.200000000012</v>
      </c>
      <c r="F60" s="820"/>
      <c r="G60" s="821"/>
      <c r="H60" s="822">
        <v>5793.89</v>
      </c>
      <c r="I60" s="820"/>
      <c r="J60" s="821"/>
      <c r="K60" s="822">
        <v>5116.88</v>
      </c>
      <c r="L60" s="820"/>
      <c r="M60" s="821"/>
      <c r="N60" s="822">
        <v>5238.0600000000004</v>
      </c>
      <c r="O60" s="820"/>
      <c r="P60" s="821"/>
      <c r="Q60" s="822">
        <v>4993.4399999999996</v>
      </c>
      <c r="R60" s="820"/>
      <c r="S60" s="821"/>
      <c r="T60" s="822">
        <v>8441.26</v>
      </c>
      <c r="U60" s="820"/>
      <c r="V60" s="821"/>
      <c r="W60" s="822">
        <v>7316.83</v>
      </c>
      <c r="X60" s="820"/>
      <c r="Y60" s="821"/>
      <c r="Z60" s="822">
        <v>6626.51</v>
      </c>
      <c r="AA60" s="820"/>
      <c r="AB60" s="821"/>
      <c r="AC60" s="822">
        <v>7910.75</v>
      </c>
      <c r="AD60" s="820"/>
      <c r="AE60" s="821"/>
      <c r="AF60" s="822">
        <v>9006.4699999999993</v>
      </c>
      <c r="AG60" s="820"/>
      <c r="AH60" s="821"/>
      <c r="AI60" s="822">
        <v>8049.91</v>
      </c>
      <c r="AJ60" s="820"/>
      <c r="AK60" s="821"/>
      <c r="AL60" s="822">
        <v>9735.27</v>
      </c>
      <c r="AM60" s="820"/>
      <c r="AN60" s="821"/>
      <c r="AO60" s="822">
        <v>10008.93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25">
      <c r="A61" s="540" t="str">
        <f t="shared" si="0"/>
        <v>Véhicules neufsInformatique</v>
      </c>
      <c r="B61" s="550" t="s">
        <v>121</v>
      </c>
      <c r="C61" s="785"/>
      <c r="D61" s="793"/>
      <c r="E61" s="807">
        <v>54831.46</v>
      </c>
      <c r="F61" s="785"/>
      <c r="G61" s="793"/>
      <c r="H61" s="807">
        <v>4749.88</v>
      </c>
      <c r="I61" s="785"/>
      <c r="J61" s="793"/>
      <c r="K61" s="807">
        <v>4371.2</v>
      </c>
      <c r="L61" s="785"/>
      <c r="M61" s="793"/>
      <c r="N61" s="807">
        <v>4371.2</v>
      </c>
      <c r="O61" s="785"/>
      <c r="P61" s="793"/>
      <c r="Q61" s="807">
        <v>4537.54</v>
      </c>
      <c r="R61" s="785"/>
      <c r="S61" s="793"/>
      <c r="T61" s="807">
        <v>5260.81</v>
      </c>
      <c r="U61" s="785"/>
      <c r="V61" s="793"/>
      <c r="W61" s="807">
        <v>4468.3500000000004</v>
      </c>
      <c r="X61" s="785"/>
      <c r="Y61" s="793"/>
      <c r="Z61" s="807">
        <v>4489.6000000000004</v>
      </c>
      <c r="AA61" s="785"/>
      <c r="AB61" s="793"/>
      <c r="AC61" s="807">
        <v>4562.82</v>
      </c>
      <c r="AD61" s="785"/>
      <c r="AE61" s="793"/>
      <c r="AF61" s="807">
        <v>4246.2</v>
      </c>
      <c r="AG61" s="785"/>
      <c r="AH61" s="793"/>
      <c r="AI61" s="807">
        <v>4885.13</v>
      </c>
      <c r="AJ61" s="785"/>
      <c r="AK61" s="793"/>
      <c r="AL61" s="807">
        <v>4394.9399999999996</v>
      </c>
      <c r="AM61" s="785"/>
      <c r="AN61" s="793"/>
      <c r="AO61" s="807">
        <v>4493.79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25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15061.779999999999</v>
      </c>
      <c r="F62" s="785"/>
      <c r="G62" s="793"/>
      <c r="H62" s="807">
        <v>607.84</v>
      </c>
      <c r="I62" s="785"/>
      <c r="J62" s="793"/>
      <c r="K62" s="807">
        <v>341.03</v>
      </c>
      <c r="L62" s="785"/>
      <c r="M62" s="793"/>
      <c r="N62" s="807">
        <v>1556.43</v>
      </c>
      <c r="O62" s="785"/>
      <c r="P62" s="793"/>
      <c r="Q62" s="807">
        <v>1481.23</v>
      </c>
      <c r="R62" s="785"/>
      <c r="S62" s="793"/>
      <c r="T62" s="807">
        <v>1088.52</v>
      </c>
      <c r="U62" s="785"/>
      <c r="V62" s="793"/>
      <c r="W62" s="807">
        <v>1461.62</v>
      </c>
      <c r="X62" s="785"/>
      <c r="Y62" s="793"/>
      <c r="Z62" s="807">
        <v>3268.68</v>
      </c>
      <c r="AA62" s="785"/>
      <c r="AB62" s="793"/>
      <c r="AC62" s="807">
        <v>1080.6600000000001</v>
      </c>
      <c r="AD62" s="785"/>
      <c r="AE62" s="793"/>
      <c r="AF62" s="807">
        <v>975.02</v>
      </c>
      <c r="AG62" s="785"/>
      <c r="AH62" s="793"/>
      <c r="AI62" s="807">
        <v>874.14</v>
      </c>
      <c r="AJ62" s="785"/>
      <c r="AK62" s="793"/>
      <c r="AL62" s="807">
        <v>1199.4000000000001</v>
      </c>
      <c r="AM62" s="785"/>
      <c r="AN62" s="793"/>
      <c r="AO62" s="807">
        <v>1127.21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25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41147.009999999995</v>
      </c>
      <c r="F63" s="820"/>
      <c r="G63" s="821"/>
      <c r="H63" s="822">
        <v>3166.27</v>
      </c>
      <c r="I63" s="820"/>
      <c r="J63" s="821"/>
      <c r="K63" s="822">
        <v>3357.94</v>
      </c>
      <c r="L63" s="820"/>
      <c r="M63" s="821"/>
      <c r="N63" s="822">
        <v>2655.91</v>
      </c>
      <c r="O63" s="820"/>
      <c r="P63" s="821"/>
      <c r="Q63" s="822">
        <v>3008.26</v>
      </c>
      <c r="R63" s="820"/>
      <c r="S63" s="821"/>
      <c r="T63" s="822">
        <v>3645.57</v>
      </c>
      <c r="U63" s="820"/>
      <c r="V63" s="821"/>
      <c r="W63" s="822">
        <v>3629.84</v>
      </c>
      <c r="X63" s="820"/>
      <c r="Y63" s="821"/>
      <c r="Z63" s="822">
        <v>3200.5</v>
      </c>
      <c r="AA63" s="820"/>
      <c r="AB63" s="821"/>
      <c r="AC63" s="822">
        <v>3483.32</v>
      </c>
      <c r="AD63" s="820"/>
      <c r="AE63" s="821"/>
      <c r="AF63" s="822">
        <v>3699.01</v>
      </c>
      <c r="AG63" s="820"/>
      <c r="AH63" s="821"/>
      <c r="AI63" s="822">
        <v>3076.7</v>
      </c>
      <c r="AJ63" s="820"/>
      <c r="AK63" s="821"/>
      <c r="AL63" s="822">
        <v>3731.16</v>
      </c>
      <c r="AM63" s="820"/>
      <c r="AN63" s="821"/>
      <c r="AO63" s="822">
        <v>4492.53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25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928.47</v>
      </c>
      <c r="F64" s="785"/>
      <c r="G64" s="793"/>
      <c r="H64" s="807">
        <v>0</v>
      </c>
      <c r="I64" s="785"/>
      <c r="J64" s="793"/>
      <c r="K64" s="807">
        <v>7.5</v>
      </c>
      <c r="L64" s="785"/>
      <c r="M64" s="793"/>
      <c r="N64" s="807">
        <v>0</v>
      </c>
      <c r="O64" s="785"/>
      <c r="P64" s="793"/>
      <c r="Q64" s="807">
        <v>2.4900000000000002</v>
      </c>
      <c r="R64" s="785"/>
      <c r="S64" s="793"/>
      <c r="T64" s="807">
        <v>32.58</v>
      </c>
      <c r="U64" s="785"/>
      <c r="V64" s="793"/>
      <c r="W64" s="807">
        <v>0</v>
      </c>
      <c r="X64" s="785"/>
      <c r="Y64" s="793"/>
      <c r="Z64" s="807">
        <v>10.99</v>
      </c>
      <c r="AA64" s="785"/>
      <c r="AB64" s="793"/>
      <c r="AC64" s="807">
        <v>75.790000000000006</v>
      </c>
      <c r="AD64" s="785"/>
      <c r="AE64" s="793"/>
      <c r="AF64" s="807">
        <v>0</v>
      </c>
      <c r="AG64" s="785"/>
      <c r="AH64" s="793"/>
      <c r="AI64" s="807">
        <v>301.85000000000002</v>
      </c>
      <c r="AJ64" s="785"/>
      <c r="AK64" s="793"/>
      <c r="AL64" s="807">
        <v>10.79</v>
      </c>
      <c r="AM64" s="785"/>
      <c r="AN64" s="793"/>
      <c r="AO64" s="807">
        <v>486.48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25">
      <c r="A65" s="540" t="str">
        <f t="shared" si="0"/>
        <v>Véhicules neufsUniformes</v>
      </c>
      <c r="B65" s="550" t="s">
        <v>125</v>
      </c>
      <c r="C65" s="785"/>
      <c r="D65" s="793"/>
      <c r="E65" s="807">
        <v>554.66000000000008</v>
      </c>
      <c r="F65" s="785"/>
      <c r="G65" s="793"/>
      <c r="H65" s="807">
        <v>0</v>
      </c>
      <c r="I65" s="785"/>
      <c r="J65" s="793"/>
      <c r="K65" s="807">
        <v>0</v>
      </c>
      <c r="L65" s="785"/>
      <c r="M65" s="793"/>
      <c r="N65" s="807">
        <v>0</v>
      </c>
      <c r="O65" s="785"/>
      <c r="P65" s="793"/>
      <c r="Q65" s="807">
        <v>0</v>
      </c>
      <c r="R65" s="785"/>
      <c r="S65" s="793"/>
      <c r="T65" s="807">
        <v>0</v>
      </c>
      <c r="U65" s="785"/>
      <c r="V65" s="793"/>
      <c r="W65" s="807">
        <v>78.08</v>
      </c>
      <c r="X65" s="785"/>
      <c r="Y65" s="793"/>
      <c r="Z65" s="807">
        <v>229.08</v>
      </c>
      <c r="AA65" s="785"/>
      <c r="AB65" s="793"/>
      <c r="AC65" s="807">
        <v>247.5</v>
      </c>
      <c r="AD65" s="785"/>
      <c r="AE65" s="793"/>
      <c r="AF65" s="807">
        <v>0</v>
      </c>
      <c r="AG65" s="785"/>
      <c r="AH65" s="793"/>
      <c r="AI65" s="807">
        <v>0</v>
      </c>
      <c r="AJ65" s="785"/>
      <c r="AK65" s="793"/>
      <c r="AL65" s="807">
        <v>0</v>
      </c>
      <c r="AM65" s="785"/>
      <c r="AN65" s="793"/>
      <c r="AO65" s="807">
        <v>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25">
      <c r="A66" s="540" t="str">
        <f t="shared" si="0"/>
        <v>Véhicules neufsPapeterie</v>
      </c>
      <c r="B66" s="550" t="s">
        <v>126</v>
      </c>
      <c r="C66" s="785"/>
      <c r="D66" s="793"/>
      <c r="E66" s="807">
        <v>7259.26</v>
      </c>
      <c r="F66" s="785"/>
      <c r="G66" s="793"/>
      <c r="H66" s="807">
        <v>499.83</v>
      </c>
      <c r="I66" s="785"/>
      <c r="J66" s="793"/>
      <c r="K66" s="807">
        <v>652.70000000000005</v>
      </c>
      <c r="L66" s="785"/>
      <c r="M66" s="793"/>
      <c r="N66" s="807">
        <v>157.66</v>
      </c>
      <c r="O66" s="785"/>
      <c r="P66" s="793"/>
      <c r="Q66" s="807">
        <v>431.9</v>
      </c>
      <c r="R66" s="785"/>
      <c r="S66" s="793"/>
      <c r="T66" s="807">
        <v>899.59</v>
      </c>
      <c r="U66" s="785"/>
      <c r="V66" s="793"/>
      <c r="W66" s="807">
        <v>502.79</v>
      </c>
      <c r="X66" s="785"/>
      <c r="Y66" s="793"/>
      <c r="Z66" s="807">
        <v>751.32</v>
      </c>
      <c r="AA66" s="785"/>
      <c r="AB66" s="793"/>
      <c r="AC66" s="807">
        <v>884.8</v>
      </c>
      <c r="AD66" s="785"/>
      <c r="AE66" s="793"/>
      <c r="AF66" s="807">
        <v>336.26</v>
      </c>
      <c r="AG66" s="785"/>
      <c r="AH66" s="793"/>
      <c r="AI66" s="807">
        <v>856.73</v>
      </c>
      <c r="AJ66" s="785"/>
      <c r="AK66" s="793"/>
      <c r="AL66" s="807">
        <v>802.33</v>
      </c>
      <c r="AM66" s="785"/>
      <c r="AN66" s="793"/>
      <c r="AO66" s="807">
        <v>483.35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25">
      <c r="A67" s="540" t="str">
        <f t="shared" si="0"/>
        <v>Véhicules neufsTéléphone</v>
      </c>
      <c r="B67" s="550" t="s">
        <v>127</v>
      </c>
      <c r="C67" s="785"/>
      <c r="D67" s="793"/>
      <c r="E67" s="807">
        <v>2891.49</v>
      </c>
      <c r="F67" s="785"/>
      <c r="G67" s="793"/>
      <c r="H67" s="807">
        <v>203.83</v>
      </c>
      <c r="I67" s="785"/>
      <c r="J67" s="793"/>
      <c r="K67" s="807">
        <v>203.33</v>
      </c>
      <c r="L67" s="785"/>
      <c r="M67" s="793"/>
      <c r="N67" s="807">
        <v>254.73</v>
      </c>
      <c r="O67" s="785"/>
      <c r="P67" s="793"/>
      <c r="Q67" s="807">
        <v>235.92</v>
      </c>
      <c r="R67" s="785"/>
      <c r="S67" s="793"/>
      <c r="T67" s="807">
        <v>222.63</v>
      </c>
      <c r="U67" s="785"/>
      <c r="V67" s="793"/>
      <c r="W67" s="807">
        <v>364.45</v>
      </c>
      <c r="X67" s="785"/>
      <c r="Y67" s="793"/>
      <c r="Z67" s="807">
        <v>203.57</v>
      </c>
      <c r="AA67" s="785"/>
      <c r="AB67" s="793"/>
      <c r="AC67" s="807">
        <v>205.77</v>
      </c>
      <c r="AD67" s="785"/>
      <c r="AE67" s="793"/>
      <c r="AF67" s="807">
        <v>205.64</v>
      </c>
      <c r="AG67" s="785"/>
      <c r="AH67" s="793"/>
      <c r="AI67" s="807">
        <v>213.35</v>
      </c>
      <c r="AJ67" s="785"/>
      <c r="AK67" s="793"/>
      <c r="AL67" s="807">
        <v>387.42</v>
      </c>
      <c r="AM67" s="785"/>
      <c r="AN67" s="793"/>
      <c r="AO67" s="807">
        <v>190.85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25">
      <c r="A68" s="540" t="str">
        <f t="shared" si="0"/>
        <v>Véhicules neufsFrais postaux</v>
      </c>
      <c r="B68" s="550" t="s">
        <v>128</v>
      </c>
      <c r="C68" s="785"/>
      <c r="D68" s="793"/>
      <c r="E68" s="807">
        <v>2023.0000000000005</v>
      </c>
      <c r="F68" s="785"/>
      <c r="G68" s="793"/>
      <c r="H68" s="807">
        <v>202.86</v>
      </c>
      <c r="I68" s="785"/>
      <c r="J68" s="793"/>
      <c r="K68" s="807">
        <v>164.96</v>
      </c>
      <c r="L68" s="785"/>
      <c r="M68" s="793"/>
      <c r="N68" s="807">
        <v>179.07</v>
      </c>
      <c r="O68" s="785"/>
      <c r="P68" s="793"/>
      <c r="Q68" s="807">
        <v>258.2</v>
      </c>
      <c r="R68" s="785"/>
      <c r="S68" s="793"/>
      <c r="T68" s="807">
        <v>312.69</v>
      </c>
      <c r="U68" s="785"/>
      <c r="V68" s="793"/>
      <c r="W68" s="807">
        <v>82.69</v>
      </c>
      <c r="X68" s="785"/>
      <c r="Y68" s="793"/>
      <c r="Z68" s="807">
        <v>239.74</v>
      </c>
      <c r="AA68" s="785"/>
      <c r="AB68" s="793"/>
      <c r="AC68" s="807">
        <v>143.9</v>
      </c>
      <c r="AD68" s="785"/>
      <c r="AE68" s="793"/>
      <c r="AF68" s="807">
        <v>58.8</v>
      </c>
      <c r="AG68" s="785"/>
      <c r="AH68" s="793"/>
      <c r="AI68" s="807">
        <v>82.64</v>
      </c>
      <c r="AJ68" s="785"/>
      <c r="AK68" s="793"/>
      <c r="AL68" s="807">
        <v>55.24</v>
      </c>
      <c r="AM68" s="785"/>
      <c r="AN68" s="793"/>
      <c r="AO68" s="807">
        <v>242.21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25">
      <c r="A69" s="540" t="str">
        <f t="shared" si="0"/>
        <v>Véhicules neufsDivers</v>
      </c>
      <c r="B69" s="550" t="s">
        <v>129</v>
      </c>
      <c r="C69" s="785"/>
      <c r="D69" s="793"/>
      <c r="E69" s="807">
        <v>9075.8799999999883</v>
      </c>
      <c r="F69" s="785"/>
      <c r="G69" s="793"/>
      <c r="H69" s="807">
        <v>961.56</v>
      </c>
      <c r="I69" s="785"/>
      <c r="J69" s="793"/>
      <c r="K69" s="807">
        <v>653.17999999999995</v>
      </c>
      <c r="L69" s="785"/>
      <c r="M69" s="793"/>
      <c r="N69" s="807">
        <v>726.53</v>
      </c>
      <c r="O69" s="785"/>
      <c r="P69" s="793"/>
      <c r="Q69" s="807">
        <v>832.95</v>
      </c>
      <c r="R69" s="785"/>
      <c r="S69" s="793"/>
      <c r="T69" s="807">
        <v>650.70000000000005</v>
      </c>
      <c r="U69" s="785"/>
      <c r="V69" s="793"/>
      <c r="W69" s="807">
        <v>650.70000000000005</v>
      </c>
      <c r="X69" s="785"/>
      <c r="Y69" s="793"/>
      <c r="Z69" s="807">
        <v>650.70000000000005</v>
      </c>
      <c r="AA69" s="785"/>
      <c r="AB69" s="793"/>
      <c r="AC69" s="807">
        <v>832.95</v>
      </c>
      <c r="AD69" s="785"/>
      <c r="AE69" s="793"/>
      <c r="AF69" s="807">
        <v>650.70000000000005</v>
      </c>
      <c r="AG69" s="785"/>
      <c r="AH69" s="793"/>
      <c r="AI69" s="807">
        <v>650.70000000000005</v>
      </c>
      <c r="AJ69" s="785"/>
      <c r="AK69" s="793"/>
      <c r="AL69" s="807">
        <v>739.8</v>
      </c>
      <c r="AM69" s="785"/>
      <c r="AN69" s="793"/>
      <c r="AO69" s="807">
        <v>1075.4099999999901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25">
      <c r="A70" s="540" t="str">
        <f t="shared" si="0"/>
        <v>Véhicules neufsFormation</v>
      </c>
      <c r="B70" s="550" t="s">
        <v>130</v>
      </c>
      <c r="C70" s="785"/>
      <c r="D70" s="793"/>
      <c r="E70" s="807">
        <v>3658.1400000000003</v>
      </c>
      <c r="F70" s="785"/>
      <c r="G70" s="793"/>
      <c r="H70" s="807">
        <v>-1272.3</v>
      </c>
      <c r="I70" s="785"/>
      <c r="J70" s="793"/>
      <c r="K70" s="807">
        <v>621.87</v>
      </c>
      <c r="L70" s="785"/>
      <c r="M70" s="793"/>
      <c r="N70" s="807">
        <v>700.08</v>
      </c>
      <c r="O70" s="785"/>
      <c r="P70" s="793"/>
      <c r="Q70" s="807">
        <v>518.23</v>
      </c>
      <c r="R70" s="785"/>
      <c r="S70" s="793"/>
      <c r="T70" s="807">
        <v>-894.63</v>
      </c>
      <c r="U70" s="785"/>
      <c r="V70" s="793"/>
      <c r="W70" s="807">
        <v>-312.31</v>
      </c>
      <c r="X70" s="785"/>
      <c r="Y70" s="793"/>
      <c r="Z70" s="807">
        <v>1085.0899999999999</v>
      </c>
      <c r="AA70" s="785"/>
      <c r="AB70" s="793"/>
      <c r="AC70" s="807">
        <v>974.97</v>
      </c>
      <c r="AD70" s="785"/>
      <c r="AE70" s="793"/>
      <c r="AF70" s="807">
        <v>179.84</v>
      </c>
      <c r="AG70" s="785"/>
      <c r="AH70" s="793"/>
      <c r="AI70" s="807">
        <v>423.95</v>
      </c>
      <c r="AJ70" s="785"/>
      <c r="AK70" s="793"/>
      <c r="AL70" s="807">
        <v>1301.5899999999999</v>
      </c>
      <c r="AM70" s="785"/>
      <c r="AN70" s="793"/>
      <c r="AO70" s="807">
        <v>331.76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25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35883.200000000004</v>
      </c>
      <c r="F71" s="785"/>
      <c r="G71" s="793"/>
      <c r="H71" s="807">
        <v>1581.19</v>
      </c>
      <c r="I71" s="785"/>
      <c r="J71" s="793"/>
      <c r="K71" s="807">
        <v>1642.46</v>
      </c>
      <c r="L71" s="785"/>
      <c r="M71" s="793"/>
      <c r="N71" s="807">
        <v>2750.36</v>
      </c>
      <c r="O71" s="785"/>
      <c r="P71" s="793"/>
      <c r="Q71" s="807">
        <v>4388.05</v>
      </c>
      <c r="R71" s="785"/>
      <c r="S71" s="793"/>
      <c r="T71" s="807">
        <v>4109.05</v>
      </c>
      <c r="U71" s="785"/>
      <c r="V71" s="793"/>
      <c r="W71" s="807">
        <v>2461.66</v>
      </c>
      <c r="X71" s="785"/>
      <c r="Y71" s="793"/>
      <c r="Z71" s="807">
        <v>2993.76</v>
      </c>
      <c r="AA71" s="785"/>
      <c r="AB71" s="793"/>
      <c r="AC71" s="807">
        <v>1997.75</v>
      </c>
      <c r="AD71" s="785"/>
      <c r="AE71" s="793"/>
      <c r="AF71" s="807">
        <v>2664.71</v>
      </c>
      <c r="AG71" s="785"/>
      <c r="AH71" s="793"/>
      <c r="AI71" s="807">
        <v>3948.54</v>
      </c>
      <c r="AJ71" s="785"/>
      <c r="AK71" s="793"/>
      <c r="AL71" s="807">
        <v>4789.05</v>
      </c>
      <c r="AM71" s="785"/>
      <c r="AN71" s="793"/>
      <c r="AO71" s="807">
        <v>2556.62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25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25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25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25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0.15925343230269889</v>
      </c>
      <c r="E75" s="814">
        <v>261552.55000000002</v>
      </c>
      <c r="F75" s="812" t="s">
        <v>108</v>
      </c>
      <c r="G75" s="813">
        <v>0.27902169149071737</v>
      </c>
      <c r="H75" s="814">
        <v>16494.850000000002</v>
      </c>
      <c r="I75" s="812" t="s">
        <v>108</v>
      </c>
      <c r="J75" s="813">
        <v>0.32638079934773689</v>
      </c>
      <c r="K75" s="814">
        <v>17133.050000000003</v>
      </c>
      <c r="L75" s="812" t="s">
        <v>108</v>
      </c>
      <c r="M75" s="813">
        <v>0.13072936884328273</v>
      </c>
      <c r="N75" s="814">
        <v>18590.03</v>
      </c>
      <c r="O75" s="812" t="s">
        <v>108</v>
      </c>
      <c r="P75" s="813">
        <v>0.10541998338612596</v>
      </c>
      <c r="Q75" s="814">
        <v>20688.21</v>
      </c>
      <c r="R75" s="812" t="s">
        <v>108</v>
      </c>
      <c r="S75" s="813">
        <v>0.10275150077045998</v>
      </c>
      <c r="T75" s="814">
        <v>23768.77</v>
      </c>
      <c r="U75" s="812" t="s">
        <v>108</v>
      </c>
      <c r="V75" s="813">
        <v>0.18750369601809952</v>
      </c>
      <c r="W75" s="814">
        <v>20704.7</v>
      </c>
      <c r="X75" s="812" t="s">
        <v>108</v>
      </c>
      <c r="Y75" s="813">
        <v>0.24613404025089861</v>
      </c>
      <c r="Z75" s="814">
        <v>23749.540000000008</v>
      </c>
      <c r="AA75" s="812" t="s">
        <v>108</v>
      </c>
      <c r="AB75" s="813">
        <v>0.28380509220348082</v>
      </c>
      <c r="AC75" s="814">
        <v>22400.980000000003</v>
      </c>
      <c r="AD75" s="812" t="s">
        <v>108</v>
      </c>
      <c r="AE75" s="813">
        <v>0.13229100326386686</v>
      </c>
      <c r="AF75" s="814">
        <v>22022.649999999994</v>
      </c>
      <c r="AG75" s="812" t="s">
        <v>108</v>
      </c>
      <c r="AH75" s="813">
        <v>0.16089149752048071</v>
      </c>
      <c r="AI75" s="814">
        <v>23363.64</v>
      </c>
      <c r="AJ75" s="812" t="s">
        <v>108</v>
      </c>
      <c r="AK75" s="813">
        <v>0.14652502341961585</v>
      </c>
      <c r="AL75" s="814">
        <v>27146.989999999998</v>
      </c>
      <c r="AM75" s="812" t="s">
        <v>108</v>
      </c>
      <c r="AN75" s="813">
        <v>0.14304939175580039</v>
      </c>
      <c r="AO75" s="814">
        <v>25489.139999999981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25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25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1.1469888760537543</v>
      </c>
      <c r="E77" s="823">
        <v>1883776.45</v>
      </c>
      <c r="F77" s="812" t="s">
        <v>108</v>
      </c>
      <c r="G77" s="813">
        <v>1.9715468024026401</v>
      </c>
      <c r="H77" s="823">
        <v>116551.4</v>
      </c>
      <c r="I77" s="812" t="s">
        <v>108</v>
      </c>
      <c r="J77" s="813">
        <v>2.3593110076284929</v>
      </c>
      <c r="K77" s="823">
        <v>123849.79000000001</v>
      </c>
      <c r="L77" s="812" t="s">
        <v>108</v>
      </c>
      <c r="M77" s="813">
        <v>1.088346891473001</v>
      </c>
      <c r="N77" s="823">
        <v>154765.54</v>
      </c>
      <c r="O77" s="812" t="s">
        <v>108</v>
      </c>
      <c r="P77" s="813">
        <v>0.90271905176788103</v>
      </c>
      <c r="Q77" s="823">
        <v>177154.66</v>
      </c>
      <c r="R77" s="812" t="s">
        <v>108</v>
      </c>
      <c r="S77" s="813">
        <v>0.89509734987269951</v>
      </c>
      <c r="T77" s="823">
        <v>207056.47</v>
      </c>
      <c r="U77" s="812" t="s">
        <v>108</v>
      </c>
      <c r="V77" s="813">
        <v>1.2933313011459879</v>
      </c>
      <c r="W77" s="823">
        <v>142813.38</v>
      </c>
      <c r="X77" s="812" t="s">
        <v>108</v>
      </c>
      <c r="Y77" s="813">
        <v>1.4439601008474783</v>
      </c>
      <c r="Z77" s="823">
        <v>139328.1</v>
      </c>
      <c r="AA77" s="812" t="s">
        <v>108</v>
      </c>
      <c r="AB77" s="813">
        <v>1.7120787737521193</v>
      </c>
      <c r="AC77" s="823">
        <v>135135.85</v>
      </c>
      <c r="AD77" s="812" t="s">
        <v>108</v>
      </c>
      <c r="AE77" s="813">
        <v>0.9741796271620714</v>
      </c>
      <c r="AF77" s="823">
        <v>162172.91</v>
      </c>
      <c r="AG77" s="812" t="s">
        <v>108</v>
      </c>
      <c r="AH77" s="813">
        <v>1.0456868239099293</v>
      </c>
      <c r="AI77" s="823">
        <v>151847.99</v>
      </c>
      <c r="AJ77" s="812" t="s">
        <v>108</v>
      </c>
      <c r="AK77" s="813">
        <v>1.0504888379271904</v>
      </c>
      <c r="AL77" s="823">
        <v>194626.20999999988</v>
      </c>
      <c r="AM77" s="812" t="s">
        <v>108</v>
      </c>
      <c r="AN77" s="813">
        <v>1.0016273048691913</v>
      </c>
      <c r="AO77" s="823">
        <v>178474.15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25">
      <c r="A78" s="540" t="str">
        <f t="shared" si="1"/>
        <v>Véhicules neufsRBSC neuf</v>
      </c>
      <c r="B78" s="550" t="s">
        <v>393</v>
      </c>
      <c r="C78" s="785"/>
      <c r="D78" s="793"/>
      <c r="E78" s="807">
        <v>413289.73000000004</v>
      </c>
      <c r="F78" s="785"/>
      <c r="G78" s="793"/>
      <c r="H78" s="807">
        <v>18905</v>
      </c>
      <c r="I78" s="785"/>
      <c r="J78" s="793"/>
      <c r="K78" s="807">
        <v>2278.0700000000002</v>
      </c>
      <c r="L78" s="785"/>
      <c r="M78" s="793"/>
      <c r="N78" s="807">
        <v>33136.94</v>
      </c>
      <c r="O78" s="785"/>
      <c r="P78" s="793"/>
      <c r="Q78" s="807">
        <v>56342.42</v>
      </c>
      <c r="R78" s="785"/>
      <c r="S78" s="793"/>
      <c r="T78" s="807">
        <v>57768.59</v>
      </c>
      <c r="U78" s="785"/>
      <c r="V78" s="793"/>
      <c r="W78" s="807">
        <v>27489.53</v>
      </c>
      <c r="X78" s="785"/>
      <c r="Y78" s="793"/>
      <c r="Z78" s="807">
        <v>12290.01</v>
      </c>
      <c r="AA78" s="785"/>
      <c r="AB78" s="793"/>
      <c r="AC78" s="807">
        <v>19618.689999999999</v>
      </c>
      <c r="AD78" s="785"/>
      <c r="AE78" s="793"/>
      <c r="AF78" s="807">
        <v>54073.89</v>
      </c>
      <c r="AG78" s="785"/>
      <c r="AH78" s="793"/>
      <c r="AI78" s="807">
        <v>46412.76</v>
      </c>
      <c r="AJ78" s="785"/>
      <c r="AK78" s="793"/>
      <c r="AL78" s="807">
        <v>53053.83</v>
      </c>
      <c r="AM78" s="785"/>
      <c r="AN78" s="793"/>
      <c r="AO78" s="807">
        <v>31920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25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25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25">
      <c r="A81" s="540" t="str">
        <f t="shared" si="1"/>
        <v>Véhicules neufsHoldbacks</v>
      </c>
      <c r="B81" s="550" t="s">
        <v>136</v>
      </c>
      <c r="C81" s="785"/>
      <c r="D81" s="793"/>
      <c r="E81" s="807">
        <v>480905.59999999992</v>
      </c>
      <c r="F81" s="785"/>
      <c r="G81" s="793"/>
      <c r="H81" s="807">
        <v>17420.099999999999</v>
      </c>
      <c r="I81" s="785"/>
      <c r="J81" s="793"/>
      <c r="K81" s="807">
        <v>16676.2</v>
      </c>
      <c r="L81" s="785"/>
      <c r="M81" s="793"/>
      <c r="N81" s="807">
        <v>40227.1</v>
      </c>
      <c r="O81" s="785"/>
      <c r="P81" s="793"/>
      <c r="Q81" s="807">
        <v>47079</v>
      </c>
      <c r="R81" s="785"/>
      <c r="S81" s="793"/>
      <c r="T81" s="807">
        <v>57980.4</v>
      </c>
      <c r="U81" s="785"/>
      <c r="V81" s="793"/>
      <c r="W81" s="807">
        <v>37435.699999999997</v>
      </c>
      <c r="X81" s="785"/>
      <c r="Y81" s="793"/>
      <c r="Z81" s="807">
        <v>22240.799999999999</v>
      </c>
      <c r="AA81" s="785"/>
      <c r="AB81" s="793"/>
      <c r="AC81" s="807">
        <v>31297.599999999999</v>
      </c>
      <c r="AD81" s="785"/>
      <c r="AE81" s="793"/>
      <c r="AF81" s="807">
        <v>54160.1</v>
      </c>
      <c r="AG81" s="785"/>
      <c r="AH81" s="793"/>
      <c r="AI81" s="807">
        <v>35867.599999999999</v>
      </c>
      <c r="AJ81" s="785"/>
      <c r="AK81" s="793"/>
      <c r="AL81" s="807">
        <v>76456</v>
      </c>
      <c r="AM81" s="785"/>
      <c r="AN81" s="793"/>
      <c r="AO81" s="807">
        <v>44065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25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25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25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25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157675</v>
      </c>
      <c r="F85" s="785"/>
      <c r="G85" s="793"/>
      <c r="H85" s="807">
        <v>4165</v>
      </c>
      <c r="I85" s="785"/>
      <c r="J85" s="793"/>
      <c r="K85" s="807">
        <v>5355</v>
      </c>
      <c r="L85" s="785"/>
      <c r="M85" s="793"/>
      <c r="N85" s="807">
        <v>11900</v>
      </c>
      <c r="O85" s="785"/>
      <c r="P85" s="793"/>
      <c r="Q85" s="807">
        <v>17850</v>
      </c>
      <c r="R85" s="785"/>
      <c r="S85" s="793"/>
      <c r="T85" s="807">
        <v>23800</v>
      </c>
      <c r="U85" s="785"/>
      <c r="V85" s="793"/>
      <c r="W85" s="807">
        <v>10710</v>
      </c>
      <c r="X85" s="785"/>
      <c r="Y85" s="793"/>
      <c r="Z85" s="807">
        <v>8330</v>
      </c>
      <c r="AA85" s="785"/>
      <c r="AB85" s="793"/>
      <c r="AC85" s="807">
        <v>8925</v>
      </c>
      <c r="AD85" s="785"/>
      <c r="AE85" s="793"/>
      <c r="AF85" s="807">
        <v>17255</v>
      </c>
      <c r="AG85" s="785"/>
      <c r="AH85" s="793"/>
      <c r="AI85" s="807">
        <v>13685</v>
      </c>
      <c r="AJ85" s="785"/>
      <c r="AK85" s="793"/>
      <c r="AL85" s="807">
        <v>20825</v>
      </c>
      <c r="AM85" s="785"/>
      <c r="AN85" s="793"/>
      <c r="AO85" s="807">
        <v>14875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0.25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1051870.33</v>
      </c>
      <c r="F86" s="824"/>
      <c r="G86" s="825"/>
      <c r="H86" s="826">
        <v>40490.1</v>
      </c>
      <c r="I86" s="824"/>
      <c r="J86" s="825"/>
      <c r="K86" s="826">
        <v>24309.27</v>
      </c>
      <c r="L86" s="824"/>
      <c r="M86" s="825"/>
      <c r="N86" s="826">
        <v>85264.040000000008</v>
      </c>
      <c r="O86" s="824"/>
      <c r="P86" s="825"/>
      <c r="Q86" s="826">
        <v>121271.42</v>
      </c>
      <c r="R86" s="824"/>
      <c r="S86" s="825"/>
      <c r="T86" s="826">
        <v>139548.99</v>
      </c>
      <c r="U86" s="824"/>
      <c r="V86" s="825"/>
      <c r="W86" s="826">
        <v>75635.23</v>
      </c>
      <c r="X86" s="824"/>
      <c r="Y86" s="825"/>
      <c r="Z86" s="826">
        <v>42860.81</v>
      </c>
      <c r="AA86" s="824"/>
      <c r="AB86" s="825"/>
      <c r="AC86" s="826">
        <v>59841.289999999994</v>
      </c>
      <c r="AD86" s="824"/>
      <c r="AE86" s="825"/>
      <c r="AF86" s="826">
        <v>125488.98999999999</v>
      </c>
      <c r="AG86" s="824"/>
      <c r="AH86" s="825"/>
      <c r="AI86" s="826">
        <v>95965.36</v>
      </c>
      <c r="AJ86" s="824"/>
      <c r="AK86" s="825"/>
      <c r="AL86" s="826">
        <v>150334.83000000002</v>
      </c>
      <c r="AM86" s="824"/>
      <c r="AN86" s="825"/>
      <c r="AO86" s="826">
        <v>90860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0.25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810460.679999999</v>
      </c>
      <c r="F88" s="830"/>
      <c r="G88" s="831"/>
      <c r="H88" s="832">
        <v>-16944.570000000116</v>
      </c>
      <c r="I88" s="830"/>
      <c r="J88" s="831"/>
      <c r="K88" s="832">
        <v>-47046.470000000205</v>
      </c>
      <c r="L88" s="830"/>
      <c r="M88" s="831"/>
      <c r="N88" s="832">
        <v>72700.899999999761</v>
      </c>
      <c r="O88" s="830"/>
      <c r="P88" s="831"/>
      <c r="Q88" s="832">
        <v>140362.38000000012</v>
      </c>
      <c r="R88" s="830"/>
      <c r="S88" s="831"/>
      <c r="T88" s="832">
        <v>163815.37</v>
      </c>
      <c r="U88" s="830"/>
      <c r="V88" s="831"/>
      <c r="W88" s="832">
        <v>43244.739999999772</v>
      </c>
      <c r="X88" s="830"/>
      <c r="Y88" s="831"/>
      <c r="Z88" s="832">
        <v>22.979999999719439</v>
      </c>
      <c r="AA88" s="830"/>
      <c r="AB88" s="831"/>
      <c r="AC88" s="832">
        <v>3636.2999999998719</v>
      </c>
      <c r="AD88" s="830"/>
      <c r="AE88" s="831"/>
      <c r="AF88" s="832">
        <v>129787.33999999973</v>
      </c>
      <c r="AG88" s="830"/>
      <c r="AH88" s="831"/>
      <c r="AI88" s="832">
        <v>89331.01000000014</v>
      </c>
      <c r="AJ88" s="830"/>
      <c r="AK88" s="831"/>
      <c r="AL88" s="832">
        <v>140980.66000000009</v>
      </c>
      <c r="AM88" s="830"/>
      <c r="AN88" s="831"/>
      <c r="AO88" s="832">
        <v>90570.040000000095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3.25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3.25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25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25">
      <c r="A92" s="540"/>
      <c r="B92" s="618" t="s">
        <v>2812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" thickTop="1">
      <c r="A94" s="540"/>
      <c r="B94" s="658" t="s">
        <v>293</v>
      </c>
      <c r="C94" s="768">
        <v>2024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25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25">
      <c r="A96" s="540" t="str">
        <f>+$C$92&amp;B96</f>
        <v>Véhicules usagésVentes nettes</v>
      </c>
      <c r="B96" s="610" t="s">
        <v>85</v>
      </c>
      <c r="C96" s="774"/>
      <c r="D96" s="775"/>
      <c r="E96" s="839">
        <v>16016262.389999967</v>
      </c>
      <c r="F96" s="774"/>
      <c r="G96" s="775"/>
      <c r="H96" s="839">
        <v>1066828.96</v>
      </c>
      <c r="I96" s="774"/>
      <c r="J96" s="775"/>
      <c r="K96" s="839">
        <v>899970.02999999898</v>
      </c>
      <c r="L96" s="774"/>
      <c r="M96" s="775"/>
      <c r="N96" s="839">
        <v>1070294.77</v>
      </c>
      <c r="O96" s="774"/>
      <c r="P96" s="775"/>
      <c r="Q96" s="839">
        <v>1837134.16</v>
      </c>
      <c r="R96" s="774"/>
      <c r="S96" s="775"/>
      <c r="T96" s="839">
        <v>1654438.74999999</v>
      </c>
      <c r="U96" s="774"/>
      <c r="V96" s="775"/>
      <c r="W96" s="839">
        <v>1477403.5899999901</v>
      </c>
      <c r="X96" s="774"/>
      <c r="Y96" s="775"/>
      <c r="Z96" s="839">
        <v>1396670.81</v>
      </c>
      <c r="AA96" s="774"/>
      <c r="AB96" s="775"/>
      <c r="AC96" s="839">
        <v>1096552.67</v>
      </c>
      <c r="AD96" s="774"/>
      <c r="AE96" s="775"/>
      <c r="AF96" s="839">
        <v>1877677.86</v>
      </c>
      <c r="AG96" s="774"/>
      <c r="AH96" s="775"/>
      <c r="AI96" s="839">
        <v>1387184.80999999</v>
      </c>
      <c r="AJ96" s="774"/>
      <c r="AK96" s="775"/>
      <c r="AL96" s="839">
        <v>842711.86</v>
      </c>
      <c r="AM96" s="774"/>
      <c r="AN96" s="775"/>
      <c r="AO96" s="839">
        <v>1409394.12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25">
      <c r="A97" s="540" t="str">
        <f t="shared" ref="A97:A162" si="2">+$C$92&amp;B97</f>
        <v>Véhicules usagésCertifié</v>
      </c>
      <c r="B97" s="550" t="s">
        <v>141</v>
      </c>
      <c r="C97" s="777">
        <v>62</v>
      </c>
      <c r="D97" s="778">
        <v>2319.7799999999957</v>
      </c>
      <c r="E97" s="779">
        <v>143826.35999999972</v>
      </c>
      <c r="F97" s="777">
        <v>2</v>
      </c>
      <c r="G97" s="778">
        <v>3535.9199999999951</v>
      </c>
      <c r="H97" s="779">
        <v>7071.8399999999901</v>
      </c>
      <c r="I97" s="777">
        <v>9</v>
      </c>
      <c r="J97" s="778">
        <v>2012.4588888888777</v>
      </c>
      <c r="K97" s="779">
        <v>18112.129999999899</v>
      </c>
      <c r="L97" s="777">
        <v>6</v>
      </c>
      <c r="M97" s="778">
        <v>3773.94</v>
      </c>
      <c r="N97" s="779">
        <v>22643.64</v>
      </c>
      <c r="O97" s="777">
        <v>7</v>
      </c>
      <c r="P97" s="778">
        <v>1622.3442857142713</v>
      </c>
      <c r="Q97" s="779">
        <v>11356.4099999999</v>
      </c>
      <c r="R97" s="777">
        <v>6</v>
      </c>
      <c r="S97" s="778">
        <v>1976.7783333333334</v>
      </c>
      <c r="T97" s="779">
        <v>11860.67</v>
      </c>
      <c r="U97" s="777">
        <v>9</v>
      </c>
      <c r="V97" s="778">
        <v>2507.0399999999886</v>
      </c>
      <c r="W97" s="779">
        <v>22563.359999999899</v>
      </c>
      <c r="X97" s="777">
        <v>4</v>
      </c>
      <c r="Y97" s="778">
        <v>1431.6625000000049</v>
      </c>
      <c r="Z97" s="779">
        <v>5726.6500000000196</v>
      </c>
      <c r="AA97" s="777">
        <v>3</v>
      </c>
      <c r="AB97" s="778">
        <v>1558.9766666666667</v>
      </c>
      <c r="AC97" s="779">
        <v>4676.93</v>
      </c>
      <c r="AD97" s="777">
        <v>4</v>
      </c>
      <c r="AE97" s="778">
        <v>3820.39</v>
      </c>
      <c r="AF97" s="779">
        <v>15281.56</v>
      </c>
      <c r="AG97" s="777">
        <v>5</v>
      </c>
      <c r="AH97" s="778">
        <v>2141.4540000000002</v>
      </c>
      <c r="AI97" s="779">
        <v>10707.27</v>
      </c>
      <c r="AJ97" s="777">
        <v>2</v>
      </c>
      <c r="AK97" s="778">
        <v>1366.4749999999949</v>
      </c>
      <c r="AL97" s="779">
        <v>2732.9499999999898</v>
      </c>
      <c r="AM97" s="777">
        <v>5</v>
      </c>
      <c r="AN97" s="778">
        <v>2218.59</v>
      </c>
      <c r="AO97" s="779">
        <v>11092.95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25">
      <c r="A98" s="540" t="str">
        <f t="shared" si="2"/>
        <v>Véhicules usagésNon Certifié</v>
      </c>
      <c r="B98" s="550" t="s">
        <v>142</v>
      </c>
      <c r="C98" s="777">
        <v>73</v>
      </c>
      <c r="D98" s="778">
        <v>1814.3649315068471</v>
      </c>
      <c r="E98" s="779">
        <v>132448.63999999984</v>
      </c>
      <c r="F98" s="777">
        <v>7</v>
      </c>
      <c r="G98" s="778">
        <v>2276.44</v>
      </c>
      <c r="H98" s="779">
        <v>15935.08</v>
      </c>
      <c r="I98" s="777">
        <v>3</v>
      </c>
      <c r="J98" s="778">
        <v>1481.3966666666665</v>
      </c>
      <c r="K98" s="779">
        <v>4444.1899999999996</v>
      </c>
      <c r="L98" s="777">
        <v>3</v>
      </c>
      <c r="M98" s="778">
        <v>2281.9766666666669</v>
      </c>
      <c r="N98" s="779">
        <v>6845.93</v>
      </c>
      <c r="O98" s="777">
        <v>9</v>
      </c>
      <c r="P98" s="778">
        <v>1875.2299999999891</v>
      </c>
      <c r="Q98" s="779">
        <v>16877.069999999901</v>
      </c>
      <c r="R98" s="777">
        <v>13</v>
      </c>
      <c r="S98" s="778">
        <v>1923.2669230769231</v>
      </c>
      <c r="T98" s="779">
        <v>25002.47</v>
      </c>
      <c r="U98" s="777">
        <v>5</v>
      </c>
      <c r="V98" s="778">
        <v>1368.929999999996</v>
      </c>
      <c r="W98" s="779">
        <v>6844.6499999999796</v>
      </c>
      <c r="X98" s="777">
        <v>5</v>
      </c>
      <c r="Y98" s="778">
        <v>3000.8599999999797</v>
      </c>
      <c r="Z98" s="779">
        <v>15004.299999999899</v>
      </c>
      <c r="AA98" s="777">
        <v>8</v>
      </c>
      <c r="AB98" s="778">
        <v>1068.4225000000024</v>
      </c>
      <c r="AC98" s="779">
        <v>8547.3800000000192</v>
      </c>
      <c r="AD98" s="777">
        <v>6</v>
      </c>
      <c r="AE98" s="778">
        <v>1556.0783333333384</v>
      </c>
      <c r="AF98" s="779">
        <v>9336.4700000000303</v>
      </c>
      <c r="AG98" s="777">
        <v>5</v>
      </c>
      <c r="AH98" s="778">
        <v>4364.8</v>
      </c>
      <c r="AI98" s="779">
        <v>21824</v>
      </c>
      <c r="AJ98" s="777">
        <v>2</v>
      </c>
      <c r="AK98" s="778">
        <v>1534.64</v>
      </c>
      <c r="AL98" s="779">
        <v>3069.28</v>
      </c>
      <c r="AM98" s="777">
        <v>7</v>
      </c>
      <c r="AN98" s="778">
        <v>-183.16857142857</v>
      </c>
      <c r="AO98" s="779">
        <v>-1282.1799999999901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25">
      <c r="A99" s="540" t="str">
        <f t="shared" si="2"/>
        <v>Véhicules usagésAutres Marques</v>
      </c>
      <c r="B99" s="550" t="s">
        <v>2813</v>
      </c>
      <c r="C99" s="777">
        <v>63</v>
      </c>
      <c r="D99" s="778">
        <v>1119.7820634920615</v>
      </c>
      <c r="E99" s="779">
        <v>70546.269999999873</v>
      </c>
      <c r="F99" s="777">
        <v>3</v>
      </c>
      <c r="G99" s="778">
        <v>1247.3500000000001</v>
      </c>
      <c r="H99" s="779">
        <v>3742.05</v>
      </c>
      <c r="I99" s="777">
        <v>1</v>
      </c>
      <c r="J99" s="778">
        <v>500</v>
      </c>
      <c r="K99" s="779">
        <v>500</v>
      </c>
      <c r="L99" s="777">
        <v>5</v>
      </c>
      <c r="M99" s="778">
        <v>1395.21</v>
      </c>
      <c r="N99" s="779">
        <v>6976.05</v>
      </c>
      <c r="O99" s="777">
        <v>12</v>
      </c>
      <c r="P99" s="778">
        <v>862.97166666666669</v>
      </c>
      <c r="Q99" s="779">
        <v>10355.66</v>
      </c>
      <c r="R99" s="777">
        <v>5</v>
      </c>
      <c r="S99" s="778">
        <v>981.52599999999802</v>
      </c>
      <c r="T99" s="779">
        <v>4907.6299999999901</v>
      </c>
      <c r="U99" s="777">
        <v>5</v>
      </c>
      <c r="V99" s="778">
        <v>1005.798</v>
      </c>
      <c r="W99" s="779">
        <v>5028.99</v>
      </c>
      <c r="X99" s="777">
        <v>9</v>
      </c>
      <c r="Y99" s="778">
        <v>1597.0133333333224</v>
      </c>
      <c r="Z99" s="779">
        <v>14373.119999999901</v>
      </c>
      <c r="AA99" s="777">
        <v>8</v>
      </c>
      <c r="AB99" s="778">
        <v>1447.5125</v>
      </c>
      <c r="AC99" s="779">
        <v>11580.1</v>
      </c>
      <c r="AD99" s="777">
        <v>7</v>
      </c>
      <c r="AE99" s="778">
        <v>874.92</v>
      </c>
      <c r="AF99" s="779">
        <v>6124.44</v>
      </c>
      <c r="AG99" s="777">
        <v>4</v>
      </c>
      <c r="AH99" s="778">
        <v>1300.2549999999976</v>
      </c>
      <c r="AI99" s="779">
        <v>5201.0199999999904</v>
      </c>
      <c r="AJ99" s="777">
        <v>3</v>
      </c>
      <c r="AK99" s="778">
        <v>419.0699999999967</v>
      </c>
      <c r="AL99" s="779">
        <v>1257.20999999999</v>
      </c>
      <c r="AM99" s="777">
        <v>1</v>
      </c>
      <c r="AN99" s="778">
        <v>500</v>
      </c>
      <c r="AO99" s="779">
        <v>500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0.25">
      <c r="A100" s="540" t="str">
        <f t="shared" si="2"/>
        <v>Véhicules usagésTotal Usagés</v>
      </c>
      <c r="B100" s="604" t="s">
        <v>143</v>
      </c>
      <c r="C100" s="782">
        <v>198</v>
      </c>
      <c r="D100" s="783">
        <v>1751.6225757575728</v>
      </c>
      <c r="E100" s="784">
        <v>346821.26999999944</v>
      </c>
      <c r="F100" s="782">
        <v>12</v>
      </c>
      <c r="G100" s="783">
        <v>2229.0808333333325</v>
      </c>
      <c r="H100" s="784">
        <v>26748.96999999999</v>
      </c>
      <c r="I100" s="782">
        <v>13</v>
      </c>
      <c r="J100" s="783">
        <v>1773.563076923069</v>
      </c>
      <c r="K100" s="784">
        <v>23056.319999999898</v>
      </c>
      <c r="L100" s="782">
        <v>14</v>
      </c>
      <c r="M100" s="783">
        <v>2604.687142857143</v>
      </c>
      <c r="N100" s="784">
        <v>36465.620000000003</v>
      </c>
      <c r="O100" s="782">
        <v>28</v>
      </c>
      <c r="P100" s="783">
        <v>1378.1835714285642</v>
      </c>
      <c r="Q100" s="784">
        <v>38589.139999999796</v>
      </c>
      <c r="R100" s="782">
        <v>24</v>
      </c>
      <c r="S100" s="783">
        <v>1740.4487499999996</v>
      </c>
      <c r="T100" s="784">
        <v>41770.76999999999</v>
      </c>
      <c r="U100" s="782">
        <v>19</v>
      </c>
      <c r="V100" s="783">
        <v>1812.4736842105199</v>
      </c>
      <c r="W100" s="784">
        <v>34436.999999999876</v>
      </c>
      <c r="X100" s="782">
        <v>18</v>
      </c>
      <c r="Y100" s="783">
        <v>1950.2261111111011</v>
      </c>
      <c r="Z100" s="784">
        <v>35104.069999999818</v>
      </c>
      <c r="AA100" s="782">
        <v>19</v>
      </c>
      <c r="AB100" s="783">
        <v>1305.4952631578956</v>
      </c>
      <c r="AC100" s="784">
        <v>24804.410000000018</v>
      </c>
      <c r="AD100" s="782">
        <v>17</v>
      </c>
      <c r="AE100" s="783">
        <v>1808.3805882352956</v>
      </c>
      <c r="AF100" s="784">
        <v>30742.470000000027</v>
      </c>
      <c r="AG100" s="782">
        <v>14</v>
      </c>
      <c r="AH100" s="783">
        <v>2695.1635714285708</v>
      </c>
      <c r="AI100" s="784">
        <v>37732.289999999994</v>
      </c>
      <c r="AJ100" s="782">
        <v>7</v>
      </c>
      <c r="AK100" s="783">
        <v>1008.4914285714258</v>
      </c>
      <c r="AL100" s="784">
        <v>7059.4399999999805</v>
      </c>
      <c r="AM100" s="782">
        <v>13</v>
      </c>
      <c r="AN100" s="783">
        <v>793.13615384615468</v>
      </c>
      <c r="AO100" s="784">
        <v>10310.770000000011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25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25">
      <c r="A102" s="540" t="str">
        <f t="shared" si="2"/>
        <v>Véhicules usagés</v>
      </c>
      <c r="B102" s="550"/>
      <c r="C102" s="785"/>
      <c r="D102" s="793"/>
      <c r="E102" s="786"/>
      <c r="F102" s="785"/>
      <c r="G102" s="793"/>
      <c r="H102" s="786"/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25">
      <c r="A103" s="540" t="str">
        <f t="shared" si="2"/>
        <v>Véhicules usagésVentes au Gros</v>
      </c>
      <c r="B103" s="550" t="s">
        <v>144</v>
      </c>
      <c r="C103" s="777">
        <v>230</v>
      </c>
      <c r="D103" s="778">
        <v>434.93060869565113</v>
      </c>
      <c r="E103" s="779">
        <v>100034.03999999976</v>
      </c>
      <c r="F103" s="777">
        <v>10</v>
      </c>
      <c r="G103" s="778">
        <v>687.64799999999798</v>
      </c>
      <c r="H103" s="779">
        <v>6876.4799999999796</v>
      </c>
      <c r="I103" s="777">
        <v>13</v>
      </c>
      <c r="J103" s="778">
        <v>508.23923076923154</v>
      </c>
      <c r="K103" s="779">
        <v>6607.1100000000097</v>
      </c>
      <c r="L103" s="777">
        <v>14</v>
      </c>
      <c r="M103" s="778">
        <v>-135.8328571428593</v>
      </c>
      <c r="N103" s="779">
        <v>-1901.6600000000301</v>
      </c>
      <c r="O103" s="777">
        <v>16</v>
      </c>
      <c r="P103" s="778">
        <v>462.19374999999815</v>
      </c>
      <c r="Q103" s="779">
        <v>7395.0999999999704</v>
      </c>
      <c r="R103" s="777">
        <v>21</v>
      </c>
      <c r="S103" s="778">
        <v>72.271428571431429</v>
      </c>
      <c r="T103" s="779">
        <v>1517.7000000000601</v>
      </c>
      <c r="U103" s="777">
        <v>27</v>
      </c>
      <c r="V103" s="778">
        <v>42.867407407406667</v>
      </c>
      <c r="W103" s="779">
        <v>1157.4199999999801</v>
      </c>
      <c r="X103" s="777">
        <v>20</v>
      </c>
      <c r="Y103" s="778">
        <v>179.12650000000102</v>
      </c>
      <c r="Z103" s="779">
        <v>3582.5300000000202</v>
      </c>
      <c r="AA103" s="777">
        <v>17</v>
      </c>
      <c r="AB103" s="778">
        <v>419.75235294117471</v>
      </c>
      <c r="AC103" s="779">
        <v>7135.78999999997</v>
      </c>
      <c r="AD103" s="777">
        <v>29</v>
      </c>
      <c r="AE103" s="778">
        <v>654.29103448275521</v>
      </c>
      <c r="AF103" s="779">
        <v>18974.4399999999</v>
      </c>
      <c r="AG103" s="777">
        <v>20</v>
      </c>
      <c r="AH103" s="778">
        <v>614.64799999999502</v>
      </c>
      <c r="AI103" s="779">
        <v>12292.959999999901</v>
      </c>
      <c r="AJ103" s="777">
        <v>20</v>
      </c>
      <c r="AK103" s="778">
        <v>1233.664</v>
      </c>
      <c r="AL103" s="779">
        <v>24673.279999999999</v>
      </c>
      <c r="AM103" s="777">
        <v>23</v>
      </c>
      <c r="AN103" s="778">
        <v>509.69086956521738</v>
      </c>
      <c r="AO103" s="779">
        <v>11722.89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25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25">
      <c r="A105" s="540" t="str">
        <f t="shared" si="2"/>
        <v>Véhicules usagésRev. Finances</v>
      </c>
      <c r="B105" s="550" t="s">
        <v>94</v>
      </c>
      <c r="C105" s="777"/>
      <c r="D105" s="778">
        <v>360.57232323232313</v>
      </c>
      <c r="E105" s="779">
        <v>71393.319999999978</v>
      </c>
      <c r="F105" s="777"/>
      <c r="G105" s="778">
        <v>305.60833333333335</v>
      </c>
      <c r="H105" s="779">
        <v>3667.3</v>
      </c>
      <c r="I105" s="777"/>
      <c r="J105" s="778">
        <v>667.323076923077</v>
      </c>
      <c r="K105" s="779">
        <v>8675.2000000000007</v>
      </c>
      <c r="L105" s="777"/>
      <c r="M105" s="778">
        <v>109.73357142857142</v>
      </c>
      <c r="N105" s="779">
        <v>1536.27</v>
      </c>
      <c r="O105" s="777"/>
      <c r="P105" s="778">
        <v>469.70678571428573</v>
      </c>
      <c r="Q105" s="779">
        <v>13151.79</v>
      </c>
      <c r="R105" s="777"/>
      <c r="S105" s="778">
        <v>327.625</v>
      </c>
      <c r="T105" s="779">
        <v>7863</v>
      </c>
      <c r="U105" s="777"/>
      <c r="V105" s="778">
        <v>392.41894736842107</v>
      </c>
      <c r="W105" s="779">
        <v>7455.96</v>
      </c>
      <c r="X105" s="777"/>
      <c r="Y105" s="778">
        <v>503.19722222222219</v>
      </c>
      <c r="Z105" s="779">
        <v>9057.5499999999993</v>
      </c>
      <c r="AA105" s="777"/>
      <c r="AB105" s="778">
        <v>17.800526315789472</v>
      </c>
      <c r="AC105" s="779">
        <v>338.21</v>
      </c>
      <c r="AD105" s="777"/>
      <c r="AE105" s="778">
        <v>458.39647058823527</v>
      </c>
      <c r="AF105" s="779">
        <v>7792.74</v>
      </c>
      <c r="AG105" s="777"/>
      <c r="AH105" s="778">
        <v>533.38785714285711</v>
      </c>
      <c r="AI105" s="779">
        <v>7467.43</v>
      </c>
      <c r="AJ105" s="777"/>
      <c r="AK105" s="778">
        <v>203.58714285714285</v>
      </c>
      <c r="AL105" s="779">
        <v>1425.11</v>
      </c>
      <c r="AM105" s="777"/>
      <c r="AN105" s="778">
        <v>227.90461538461463</v>
      </c>
      <c r="AO105" s="779">
        <v>2962.7599999999902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25">
      <c r="A106" s="540" t="str">
        <f t="shared" si="2"/>
        <v>Véhicules usagésRev. Protections</v>
      </c>
      <c r="B106" s="550" t="s">
        <v>95</v>
      </c>
      <c r="C106" s="777"/>
      <c r="D106" s="778">
        <v>827.98833333333278</v>
      </c>
      <c r="E106" s="779">
        <v>163941.68999999989</v>
      </c>
      <c r="F106" s="777"/>
      <c r="G106" s="778">
        <v>1144.1475</v>
      </c>
      <c r="H106" s="779">
        <v>13729.77</v>
      </c>
      <c r="I106" s="777"/>
      <c r="J106" s="778">
        <v>1323.5146153846154</v>
      </c>
      <c r="K106" s="779">
        <v>17205.689999999999</v>
      </c>
      <c r="L106" s="777"/>
      <c r="M106" s="778">
        <v>499.5</v>
      </c>
      <c r="N106" s="779">
        <v>6993</v>
      </c>
      <c r="O106" s="777"/>
      <c r="P106" s="778">
        <v>654.39285714285711</v>
      </c>
      <c r="Q106" s="779">
        <v>18323</v>
      </c>
      <c r="R106" s="777"/>
      <c r="S106" s="778">
        <v>1132.5679166666666</v>
      </c>
      <c r="T106" s="779">
        <v>27181.63</v>
      </c>
      <c r="U106" s="777"/>
      <c r="V106" s="778">
        <v>558.47368421052636</v>
      </c>
      <c r="W106" s="779">
        <v>10611</v>
      </c>
      <c r="X106" s="777"/>
      <c r="Y106" s="778">
        <v>806.55555555555554</v>
      </c>
      <c r="Z106" s="779">
        <v>14518</v>
      </c>
      <c r="AA106" s="777"/>
      <c r="AB106" s="778">
        <v>535.84210526315792</v>
      </c>
      <c r="AC106" s="779">
        <v>10181</v>
      </c>
      <c r="AD106" s="777"/>
      <c r="AE106" s="778">
        <v>683.78235294117644</v>
      </c>
      <c r="AF106" s="779">
        <v>11624.3</v>
      </c>
      <c r="AG106" s="777"/>
      <c r="AH106" s="778">
        <v>720.94285714285718</v>
      </c>
      <c r="AI106" s="779">
        <v>10093.200000000001</v>
      </c>
      <c r="AJ106" s="777"/>
      <c r="AK106" s="778">
        <v>1359.7142857142858</v>
      </c>
      <c r="AL106" s="779">
        <v>9518</v>
      </c>
      <c r="AM106" s="777"/>
      <c r="AN106" s="778">
        <v>1074.0846153846078</v>
      </c>
      <c r="AO106" s="779">
        <v>13963.0999999999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25">
      <c r="A107" s="540" t="str">
        <f t="shared" si="2"/>
        <v>Véhicules usagésRev. Autres</v>
      </c>
      <c r="B107" s="550" t="s">
        <v>96</v>
      </c>
      <c r="C107" s="777"/>
      <c r="D107" s="841">
        <v>162.17696969696965</v>
      </c>
      <c r="E107" s="779">
        <v>32111.03999999999</v>
      </c>
      <c r="F107" s="777">
        <v>3</v>
      </c>
      <c r="G107" s="841">
        <v>177.58666666666582</v>
      </c>
      <c r="H107" s="779">
        <v>2131.03999999999</v>
      </c>
      <c r="I107" s="777">
        <v>1</v>
      </c>
      <c r="J107" s="841">
        <v>177.15384615384616</v>
      </c>
      <c r="K107" s="779">
        <v>2303</v>
      </c>
      <c r="L107" s="777">
        <v>5</v>
      </c>
      <c r="M107" s="841">
        <v>211.5</v>
      </c>
      <c r="N107" s="779">
        <v>2961</v>
      </c>
      <c r="O107" s="777">
        <v>12</v>
      </c>
      <c r="P107" s="841">
        <v>152.21428571428572</v>
      </c>
      <c r="Q107" s="779">
        <v>4262</v>
      </c>
      <c r="R107" s="777">
        <v>5</v>
      </c>
      <c r="S107" s="841">
        <v>153.58333333333334</v>
      </c>
      <c r="T107" s="779">
        <v>3686</v>
      </c>
      <c r="U107" s="777">
        <v>5</v>
      </c>
      <c r="V107" s="841">
        <v>69.84210526315789</v>
      </c>
      <c r="W107" s="779">
        <v>1327</v>
      </c>
      <c r="X107" s="777">
        <v>9</v>
      </c>
      <c r="Y107" s="841">
        <v>201.05555555555554</v>
      </c>
      <c r="Z107" s="779">
        <v>3619</v>
      </c>
      <c r="AA107" s="777">
        <v>8</v>
      </c>
      <c r="AB107" s="841">
        <v>173.15789473684211</v>
      </c>
      <c r="AC107" s="779">
        <v>3290</v>
      </c>
      <c r="AD107" s="777">
        <v>7</v>
      </c>
      <c r="AE107" s="841">
        <v>192.23529411764707</v>
      </c>
      <c r="AF107" s="779">
        <v>3268</v>
      </c>
      <c r="AG107" s="777">
        <v>4</v>
      </c>
      <c r="AH107" s="841">
        <v>141</v>
      </c>
      <c r="AI107" s="779">
        <v>1974</v>
      </c>
      <c r="AJ107" s="777">
        <v>3</v>
      </c>
      <c r="AK107" s="841">
        <v>235</v>
      </c>
      <c r="AL107" s="779">
        <v>1645</v>
      </c>
      <c r="AM107" s="777">
        <v>1</v>
      </c>
      <c r="AN107" s="841">
        <v>126.53846153846153</v>
      </c>
      <c r="AO107" s="779">
        <v>1645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0.25">
      <c r="A108" s="540" t="str">
        <f t="shared" si="2"/>
        <v>Véhicules usagésTotal F&amp;I</v>
      </c>
      <c r="B108" s="604" t="s">
        <v>97</v>
      </c>
      <c r="C108" s="782">
        <v>198</v>
      </c>
      <c r="D108" s="783">
        <v>1350.7376262626256</v>
      </c>
      <c r="E108" s="784">
        <v>267446.04999999987</v>
      </c>
      <c r="F108" s="782">
        <v>12</v>
      </c>
      <c r="G108" s="783">
        <v>1627.3424999999991</v>
      </c>
      <c r="H108" s="784">
        <v>19528.10999999999</v>
      </c>
      <c r="I108" s="782">
        <v>13</v>
      </c>
      <c r="J108" s="783">
        <v>2167.9915384615383</v>
      </c>
      <c r="K108" s="784">
        <v>28183.89</v>
      </c>
      <c r="L108" s="782">
        <v>14</v>
      </c>
      <c r="M108" s="783">
        <v>820.73357142857151</v>
      </c>
      <c r="N108" s="784">
        <v>11490.27</v>
      </c>
      <c r="O108" s="782">
        <v>28</v>
      </c>
      <c r="P108" s="783">
        <v>1276.3139285714285</v>
      </c>
      <c r="Q108" s="784">
        <v>35736.79</v>
      </c>
      <c r="R108" s="782">
        <v>24</v>
      </c>
      <c r="S108" s="783">
        <v>1613.7762500000001</v>
      </c>
      <c r="T108" s="784">
        <v>38730.630000000005</v>
      </c>
      <c r="U108" s="782">
        <v>19</v>
      </c>
      <c r="V108" s="783">
        <v>1020.7347368421052</v>
      </c>
      <c r="W108" s="784">
        <v>19393.96</v>
      </c>
      <c r="X108" s="782">
        <v>18</v>
      </c>
      <c r="Y108" s="783">
        <v>1510.8083333333334</v>
      </c>
      <c r="Z108" s="784">
        <v>27194.55</v>
      </c>
      <c r="AA108" s="782">
        <v>19</v>
      </c>
      <c r="AB108" s="783">
        <v>726.8005263157894</v>
      </c>
      <c r="AC108" s="784">
        <v>13809.21</v>
      </c>
      <c r="AD108" s="782">
        <v>17</v>
      </c>
      <c r="AE108" s="783">
        <v>1334.4141176470589</v>
      </c>
      <c r="AF108" s="784">
        <v>22685.040000000001</v>
      </c>
      <c r="AG108" s="782">
        <v>14</v>
      </c>
      <c r="AH108" s="783">
        <v>1395.3307142857143</v>
      </c>
      <c r="AI108" s="784">
        <v>19534.63</v>
      </c>
      <c r="AJ108" s="782">
        <v>7</v>
      </c>
      <c r="AK108" s="783">
        <v>1798.3014285714287</v>
      </c>
      <c r="AL108" s="784">
        <v>12588.11</v>
      </c>
      <c r="AM108" s="782">
        <v>13</v>
      </c>
      <c r="AN108" s="783">
        <v>1428.527692307684</v>
      </c>
      <c r="AO108" s="784">
        <v>18570.859999999891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25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" thickTop="1">
      <c r="A111" s="540" t="str">
        <f t="shared" si="2"/>
        <v>Véhicules usagésTotal Dépt. Usagés</v>
      </c>
      <c r="B111" s="606" t="s">
        <v>145</v>
      </c>
      <c r="C111" s="795">
        <v>428</v>
      </c>
      <c r="D111" s="796">
        <v>1668.9284112149514</v>
      </c>
      <c r="E111" s="797">
        <v>714301.35999999917</v>
      </c>
      <c r="F111" s="795">
        <v>22</v>
      </c>
      <c r="G111" s="796">
        <v>2416.0709090909072</v>
      </c>
      <c r="H111" s="797">
        <v>53153.559999999961</v>
      </c>
      <c r="I111" s="795">
        <v>26</v>
      </c>
      <c r="J111" s="796">
        <v>2224.8969230769194</v>
      </c>
      <c r="K111" s="797">
        <v>57847.319999999905</v>
      </c>
      <c r="L111" s="795">
        <v>28</v>
      </c>
      <c r="M111" s="796">
        <v>1644.7939285714274</v>
      </c>
      <c r="N111" s="797">
        <v>46054.229999999967</v>
      </c>
      <c r="O111" s="795">
        <v>44</v>
      </c>
      <c r="P111" s="796">
        <v>1857.2961363636311</v>
      </c>
      <c r="Q111" s="797">
        <v>81721.029999999766</v>
      </c>
      <c r="R111" s="795">
        <v>45</v>
      </c>
      <c r="S111" s="796">
        <v>1822.6466666666677</v>
      </c>
      <c r="T111" s="797">
        <v>82019.100000000049</v>
      </c>
      <c r="U111" s="795">
        <v>46</v>
      </c>
      <c r="V111" s="796">
        <v>1195.3995652173883</v>
      </c>
      <c r="W111" s="797">
        <v>54988.379999999859</v>
      </c>
      <c r="X111" s="795">
        <v>38</v>
      </c>
      <c r="Y111" s="796">
        <v>1733.7144736842063</v>
      </c>
      <c r="Z111" s="797">
        <v>65881.149999999834</v>
      </c>
      <c r="AA111" s="795">
        <v>36</v>
      </c>
      <c r="AB111" s="796">
        <v>1270.8169444444441</v>
      </c>
      <c r="AC111" s="797">
        <v>45749.409999999989</v>
      </c>
      <c r="AD111" s="795">
        <v>46</v>
      </c>
      <c r="AE111" s="796">
        <v>1573.955434782607</v>
      </c>
      <c r="AF111" s="797">
        <v>72401.949999999924</v>
      </c>
      <c r="AG111" s="795">
        <v>34</v>
      </c>
      <c r="AH111" s="796">
        <v>2045.8788235294089</v>
      </c>
      <c r="AI111" s="797">
        <v>69559.879999999903</v>
      </c>
      <c r="AJ111" s="795">
        <v>27</v>
      </c>
      <c r="AK111" s="796">
        <v>1641.5122222222215</v>
      </c>
      <c r="AL111" s="797">
        <v>44320.82999999998</v>
      </c>
      <c r="AM111" s="795">
        <v>36</v>
      </c>
      <c r="AN111" s="796">
        <v>1127.9033333333307</v>
      </c>
      <c r="AO111" s="797">
        <v>40604.519999999902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0.25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>
        <v>0.40602423196108123</v>
      </c>
      <c r="G114" s="804">
        <v>1206.7477777777776</v>
      </c>
      <c r="H114" s="786">
        <v>10860.73</v>
      </c>
      <c r="I114" s="785">
        <v>0.28585394373430056</v>
      </c>
      <c r="J114" s="804">
        <v>549.22833333333335</v>
      </c>
      <c r="K114" s="786">
        <v>6590.74</v>
      </c>
      <c r="L114" s="785">
        <v>0.2750354991907446</v>
      </c>
      <c r="M114" s="804">
        <v>1114.3711111111111</v>
      </c>
      <c r="N114" s="786">
        <v>10029.34</v>
      </c>
      <c r="O114" s="785">
        <v>0.49916427264251295</v>
      </c>
      <c r="P114" s="804">
        <v>1203.895</v>
      </c>
      <c r="Q114" s="786">
        <v>19262.32</v>
      </c>
      <c r="R114" s="785">
        <v>0.35446557485054747</v>
      </c>
      <c r="S114" s="804">
        <v>779.27894736842097</v>
      </c>
      <c r="T114" s="786">
        <v>14806.3</v>
      </c>
      <c r="U114" s="785">
        <v>0.32761767865958247</v>
      </c>
      <c r="V114" s="804">
        <v>805.86928571428575</v>
      </c>
      <c r="W114" s="786">
        <v>11282.17</v>
      </c>
      <c r="X114" s="785">
        <v>0.30565002861491719</v>
      </c>
      <c r="Y114" s="804">
        <v>1192.1733333333332</v>
      </c>
      <c r="Z114" s="786">
        <v>10729.56</v>
      </c>
      <c r="AA114" s="785">
        <v>0.36976166738092109</v>
      </c>
      <c r="AB114" s="804">
        <v>833.79272727272723</v>
      </c>
      <c r="AC114" s="786">
        <v>9171.7199999999993</v>
      </c>
      <c r="AD114" s="785">
        <v>0.34068310060967749</v>
      </c>
      <c r="AE114" s="804">
        <v>1047.3440000000001</v>
      </c>
      <c r="AF114" s="786">
        <v>10473.44</v>
      </c>
      <c r="AG114" s="785">
        <v>0.24522550844382893</v>
      </c>
      <c r="AH114" s="804">
        <v>925.29200000000003</v>
      </c>
      <c r="AI114" s="786">
        <v>9252.92</v>
      </c>
      <c r="AJ114" s="785">
        <v>0.82817333952835004</v>
      </c>
      <c r="AK114" s="804">
        <v>1461.61</v>
      </c>
      <c r="AL114" s="786">
        <v>5846.44</v>
      </c>
      <c r="AM114" s="785">
        <v>1.037639283972001</v>
      </c>
      <c r="AN114" s="804">
        <v>891.57166666666672</v>
      </c>
      <c r="AO114" s="786">
        <v>10698.86</v>
      </c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25">
      <c r="A115" s="540" t="str">
        <f t="shared" si="2"/>
        <v>Véhicules usagésComm. vendeurs</v>
      </c>
      <c r="B115" s="550" t="s">
        <v>100</v>
      </c>
      <c r="C115" s="846">
        <v>0.37196259618102495</v>
      </c>
      <c r="D115" s="806">
        <v>955.58918518518522</v>
      </c>
      <c r="E115" s="807">
        <v>129004.54000000001</v>
      </c>
      <c r="F115" s="846">
        <v>0.55615878853611567</v>
      </c>
      <c r="G115" s="806">
        <v>1206.7477777777776</v>
      </c>
      <c r="H115" s="807">
        <v>10860.73</v>
      </c>
      <c r="I115" s="846">
        <v>0.23384777615864949</v>
      </c>
      <c r="J115" s="806">
        <v>549.22833333333335</v>
      </c>
      <c r="K115" s="807">
        <v>6590.74</v>
      </c>
      <c r="L115" s="846">
        <v>0.8728550329974839</v>
      </c>
      <c r="M115" s="806">
        <v>1114.3711111111111</v>
      </c>
      <c r="N115" s="807">
        <v>10029.34</v>
      </c>
      <c r="O115" s="846">
        <v>0.5390053219665224</v>
      </c>
      <c r="P115" s="806">
        <v>1203.895</v>
      </c>
      <c r="Q115" s="807">
        <v>19262.32</v>
      </c>
      <c r="R115" s="846">
        <v>0.38228915976837963</v>
      </c>
      <c r="S115" s="806">
        <v>779.27894736842097</v>
      </c>
      <c r="T115" s="807">
        <v>14806.3</v>
      </c>
      <c r="U115" s="846">
        <v>0.58173627253021043</v>
      </c>
      <c r="V115" s="806">
        <v>805.86928571428575</v>
      </c>
      <c r="W115" s="807">
        <v>11282.17</v>
      </c>
      <c r="X115" s="846">
        <v>0.39454817233600115</v>
      </c>
      <c r="Y115" s="806">
        <v>1192.1733333333332</v>
      </c>
      <c r="Z115" s="807">
        <v>10729.56</v>
      </c>
      <c r="AA115" s="846">
        <v>0.6641741272672369</v>
      </c>
      <c r="AB115" s="806">
        <v>833.79272727272723</v>
      </c>
      <c r="AC115" s="807">
        <v>9171.7199999999993</v>
      </c>
      <c r="AD115" s="846">
        <v>0.46168928950533039</v>
      </c>
      <c r="AE115" s="806">
        <v>1047.3440000000001</v>
      </c>
      <c r="AF115" s="807">
        <v>10473.44</v>
      </c>
      <c r="AG115" s="846">
        <v>0.47366753299141062</v>
      </c>
      <c r="AH115" s="806">
        <v>925.29200000000003</v>
      </c>
      <c r="AI115" s="807">
        <v>9252.92</v>
      </c>
      <c r="AJ115" s="846">
        <v>0.46444144514148661</v>
      </c>
      <c r="AK115" s="806">
        <v>1461.61</v>
      </c>
      <c r="AL115" s="807">
        <v>5846.44</v>
      </c>
      <c r="AM115" s="846">
        <v>0.57611009937073798</v>
      </c>
      <c r="AN115" s="806">
        <v>891.57166666666672</v>
      </c>
      <c r="AO115" s="807">
        <v>10698.86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25">
      <c r="A116" s="540" t="str">
        <f t="shared" si="2"/>
        <v>Véhicules usagésComm. F&amp;I</v>
      </c>
      <c r="B116" s="610" t="s">
        <v>101</v>
      </c>
      <c r="C116" s="808">
        <v>0.33020685854212484</v>
      </c>
      <c r="D116" s="809">
        <v>654.16681481481487</v>
      </c>
      <c r="E116" s="810">
        <v>88312.52</v>
      </c>
      <c r="F116" s="808"/>
      <c r="G116" s="809">
        <v>814.93555555555554</v>
      </c>
      <c r="H116" s="810">
        <v>7334.42</v>
      </c>
      <c r="I116" s="808"/>
      <c r="J116" s="809">
        <v>933.90666666666664</v>
      </c>
      <c r="K116" s="810">
        <v>11206.88</v>
      </c>
      <c r="L116" s="808"/>
      <c r="M116" s="809">
        <v>515.12444444444441</v>
      </c>
      <c r="N116" s="810">
        <v>4636.12</v>
      </c>
      <c r="O116" s="808"/>
      <c r="P116" s="809">
        <v>645.20249999999999</v>
      </c>
      <c r="Q116" s="810">
        <v>10323.24</v>
      </c>
      <c r="R116" s="808"/>
      <c r="S116" s="809">
        <v>777.61368421052634</v>
      </c>
      <c r="T116" s="810">
        <v>14774.66</v>
      </c>
      <c r="U116" s="808"/>
      <c r="V116" s="809">
        <v>422.42785714285714</v>
      </c>
      <c r="W116" s="810">
        <v>5913.99</v>
      </c>
      <c r="X116" s="808"/>
      <c r="Y116" s="809">
        <v>950.03000000000009</v>
      </c>
      <c r="Z116" s="810">
        <v>8550.27</v>
      </c>
      <c r="AA116" s="808"/>
      <c r="AB116" s="809">
        <v>335.20090909090908</v>
      </c>
      <c r="AC116" s="810">
        <v>3687.21</v>
      </c>
      <c r="AD116" s="808"/>
      <c r="AE116" s="809">
        <v>686.149</v>
      </c>
      <c r="AF116" s="810">
        <v>6861.49</v>
      </c>
      <c r="AG116" s="808"/>
      <c r="AH116" s="809">
        <v>555.20600000000002</v>
      </c>
      <c r="AI116" s="810">
        <v>5552.06</v>
      </c>
      <c r="AJ116" s="808"/>
      <c r="AK116" s="809">
        <v>1107.6375</v>
      </c>
      <c r="AL116" s="810">
        <v>4430.55</v>
      </c>
      <c r="AM116" s="808"/>
      <c r="AN116" s="809">
        <v>420.13583333333332</v>
      </c>
      <c r="AO116" s="810">
        <v>5041.63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25">
      <c r="A117" s="540" t="str">
        <f t="shared" si="2"/>
        <v>Véhicules usagésFrais de livraison</v>
      </c>
      <c r="B117" s="550" t="s">
        <v>102</v>
      </c>
      <c r="C117" s="785"/>
      <c r="D117" s="806">
        <v>133.70459259259258</v>
      </c>
      <c r="E117" s="807">
        <v>18050.12</v>
      </c>
      <c r="F117" s="785"/>
      <c r="G117" s="806">
        <v>111.96</v>
      </c>
      <c r="H117" s="807">
        <v>1007.64</v>
      </c>
      <c r="I117" s="785"/>
      <c r="J117" s="806">
        <v>105.55500000000001</v>
      </c>
      <c r="K117" s="807">
        <v>1266.6600000000001</v>
      </c>
      <c r="L117" s="785"/>
      <c r="M117" s="806">
        <v>141.63444444444445</v>
      </c>
      <c r="N117" s="807">
        <v>1274.71</v>
      </c>
      <c r="O117" s="785"/>
      <c r="P117" s="806">
        <v>114.02437500000001</v>
      </c>
      <c r="Q117" s="807">
        <v>1824.39</v>
      </c>
      <c r="R117" s="785"/>
      <c r="S117" s="806">
        <v>122.21999999999998</v>
      </c>
      <c r="T117" s="807">
        <v>2322.1799999999998</v>
      </c>
      <c r="U117" s="785"/>
      <c r="V117" s="806">
        <v>168.98714285714286</v>
      </c>
      <c r="W117" s="807">
        <v>2365.8200000000002</v>
      </c>
      <c r="X117" s="785"/>
      <c r="Y117" s="806">
        <v>133.73333333333332</v>
      </c>
      <c r="Z117" s="807">
        <v>1203.5999999999999</v>
      </c>
      <c r="AA117" s="785"/>
      <c r="AB117" s="806">
        <v>174.10454545454547</v>
      </c>
      <c r="AC117" s="807">
        <v>1915.15</v>
      </c>
      <c r="AD117" s="785"/>
      <c r="AE117" s="806">
        <v>132.58199999999999</v>
      </c>
      <c r="AF117" s="807">
        <v>1325.82</v>
      </c>
      <c r="AG117" s="785"/>
      <c r="AH117" s="806">
        <v>135.74100000000001</v>
      </c>
      <c r="AI117" s="807">
        <v>1357.41</v>
      </c>
      <c r="AJ117" s="785"/>
      <c r="AK117" s="806">
        <v>381.89</v>
      </c>
      <c r="AL117" s="807">
        <v>1527.56</v>
      </c>
      <c r="AM117" s="785"/>
      <c r="AN117" s="806">
        <v>54.931666666666665</v>
      </c>
      <c r="AO117" s="807">
        <v>659.18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25">
      <c r="A118" s="540" t="str">
        <f t="shared" si="2"/>
        <v>Véhicules usagésService gratuit 1</v>
      </c>
      <c r="B118" s="550" t="s">
        <v>103</v>
      </c>
      <c r="C118" s="785"/>
      <c r="D118" s="806">
        <v>154.74844444444446</v>
      </c>
      <c r="E118" s="807">
        <v>20891.04</v>
      </c>
      <c r="F118" s="785"/>
      <c r="G118" s="806">
        <v>146.71333333333334</v>
      </c>
      <c r="H118" s="807">
        <v>1320.42</v>
      </c>
      <c r="I118" s="785"/>
      <c r="J118" s="806">
        <v>224.15083333333334</v>
      </c>
      <c r="K118" s="807">
        <v>2689.81</v>
      </c>
      <c r="L118" s="785"/>
      <c r="M118" s="806">
        <v>44.43888888888889</v>
      </c>
      <c r="N118" s="807">
        <v>399.95</v>
      </c>
      <c r="O118" s="785"/>
      <c r="P118" s="806">
        <v>33.393124999999998</v>
      </c>
      <c r="Q118" s="807">
        <v>534.29</v>
      </c>
      <c r="R118" s="785"/>
      <c r="S118" s="806">
        <v>142.65473684210528</v>
      </c>
      <c r="T118" s="807">
        <v>2710.44</v>
      </c>
      <c r="U118" s="785"/>
      <c r="V118" s="806">
        <v>171.35214285714284</v>
      </c>
      <c r="W118" s="807">
        <v>2398.9299999999998</v>
      </c>
      <c r="X118" s="785"/>
      <c r="Y118" s="806">
        <v>98.247777777777785</v>
      </c>
      <c r="Z118" s="807">
        <v>884.23</v>
      </c>
      <c r="AA118" s="785"/>
      <c r="AB118" s="806">
        <v>233.76727272727274</v>
      </c>
      <c r="AC118" s="807">
        <v>2571.44</v>
      </c>
      <c r="AD118" s="785"/>
      <c r="AE118" s="806">
        <v>206.792</v>
      </c>
      <c r="AF118" s="807">
        <v>2067.92</v>
      </c>
      <c r="AG118" s="785"/>
      <c r="AH118" s="806">
        <v>120.249</v>
      </c>
      <c r="AI118" s="807">
        <v>1202.49</v>
      </c>
      <c r="AJ118" s="785"/>
      <c r="AK118" s="806">
        <v>534.1825</v>
      </c>
      <c r="AL118" s="807">
        <v>2136.73</v>
      </c>
      <c r="AM118" s="785"/>
      <c r="AN118" s="806">
        <v>164.5325</v>
      </c>
      <c r="AO118" s="807">
        <v>1974.39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25">
      <c r="A119" s="540" t="str">
        <f t="shared" si="2"/>
        <v>Véhicules usagésEntretien stock</v>
      </c>
      <c r="B119" s="610" t="s">
        <v>104</v>
      </c>
      <c r="C119" s="811"/>
      <c r="D119" s="809">
        <v>157.65674074074073</v>
      </c>
      <c r="E119" s="810">
        <v>21283.66</v>
      </c>
      <c r="F119" s="811"/>
      <c r="G119" s="809">
        <v>179.29222222222222</v>
      </c>
      <c r="H119" s="810">
        <v>1613.63</v>
      </c>
      <c r="I119" s="811"/>
      <c r="J119" s="809">
        <v>136.42750000000001</v>
      </c>
      <c r="K119" s="810">
        <v>1637.13</v>
      </c>
      <c r="L119" s="811"/>
      <c r="M119" s="809">
        <v>181.04777777777778</v>
      </c>
      <c r="N119" s="810">
        <v>1629.43</v>
      </c>
      <c r="O119" s="811"/>
      <c r="P119" s="809">
        <v>113.71062499999999</v>
      </c>
      <c r="Q119" s="810">
        <v>1819.37</v>
      </c>
      <c r="R119" s="811"/>
      <c r="S119" s="809">
        <v>115.93789473684211</v>
      </c>
      <c r="T119" s="810">
        <v>2202.8200000000002</v>
      </c>
      <c r="U119" s="811"/>
      <c r="V119" s="809">
        <v>115.15857142857143</v>
      </c>
      <c r="W119" s="810">
        <v>1612.22</v>
      </c>
      <c r="X119" s="811"/>
      <c r="Y119" s="809">
        <v>187.36888888888888</v>
      </c>
      <c r="Z119" s="810">
        <v>1686.32</v>
      </c>
      <c r="AA119" s="811"/>
      <c r="AB119" s="809">
        <v>168.68363636363637</v>
      </c>
      <c r="AC119" s="810">
        <v>1855.52</v>
      </c>
      <c r="AD119" s="811"/>
      <c r="AE119" s="809">
        <v>191.98599999999999</v>
      </c>
      <c r="AF119" s="810">
        <v>1919.86</v>
      </c>
      <c r="AG119" s="811"/>
      <c r="AH119" s="809">
        <v>176.327</v>
      </c>
      <c r="AI119" s="810">
        <v>1763.27</v>
      </c>
      <c r="AJ119" s="811"/>
      <c r="AK119" s="809">
        <v>454.59249999999997</v>
      </c>
      <c r="AL119" s="810">
        <v>1818.37</v>
      </c>
      <c r="AM119" s="811"/>
      <c r="AN119" s="809">
        <v>143.81</v>
      </c>
      <c r="AO119" s="810">
        <v>1725.72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25">
      <c r="A120" s="540" t="str">
        <f t="shared" si="2"/>
        <v>Véhicules usagésPublicité 1</v>
      </c>
      <c r="B120" s="550" t="s">
        <v>105</v>
      </c>
      <c r="C120" s="785"/>
      <c r="D120" s="806">
        <v>593.93740740740725</v>
      </c>
      <c r="E120" s="807">
        <v>80181.549999999974</v>
      </c>
      <c r="F120" s="785"/>
      <c r="G120" s="806">
        <v>696.65777777777782</v>
      </c>
      <c r="H120" s="807">
        <v>6269.92</v>
      </c>
      <c r="I120" s="785"/>
      <c r="J120" s="806">
        <v>703.63666666666666</v>
      </c>
      <c r="K120" s="807">
        <v>8443.64</v>
      </c>
      <c r="L120" s="785"/>
      <c r="M120" s="806">
        <v>740.58888888888896</v>
      </c>
      <c r="N120" s="807">
        <v>6665.3</v>
      </c>
      <c r="O120" s="785"/>
      <c r="P120" s="806">
        <v>369.20749999999998</v>
      </c>
      <c r="Q120" s="807">
        <v>5907.32</v>
      </c>
      <c r="R120" s="785"/>
      <c r="S120" s="806">
        <v>397.54947368421051</v>
      </c>
      <c r="T120" s="807">
        <v>7553.44</v>
      </c>
      <c r="U120" s="785"/>
      <c r="V120" s="806">
        <v>166.07285714285715</v>
      </c>
      <c r="W120" s="807">
        <v>2325.02</v>
      </c>
      <c r="X120" s="785"/>
      <c r="Y120" s="806">
        <v>584.20222222222219</v>
      </c>
      <c r="Z120" s="807">
        <v>5257.82</v>
      </c>
      <c r="AA120" s="785"/>
      <c r="AB120" s="806">
        <v>637.03454545454451</v>
      </c>
      <c r="AC120" s="807">
        <v>7007.3799999999901</v>
      </c>
      <c r="AD120" s="785"/>
      <c r="AE120" s="806">
        <v>680.58600000000001</v>
      </c>
      <c r="AF120" s="807">
        <v>6805.86</v>
      </c>
      <c r="AG120" s="785"/>
      <c r="AH120" s="806">
        <v>905.03099999999995</v>
      </c>
      <c r="AI120" s="807">
        <v>9050.31</v>
      </c>
      <c r="AJ120" s="785"/>
      <c r="AK120" s="806">
        <v>1927.5524999999975</v>
      </c>
      <c r="AL120" s="807">
        <v>7710.20999999999</v>
      </c>
      <c r="AM120" s="785"/>
      <c r="AN120" s="806">
        <v>598.77750000000003</v>
      </c>
      <c r="AO120" s="807">
        <v>7185.33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25">
      <c r="A121" s="540" t="str">
        <f t="shared" si="2"/>
        <v>Véhicules usagésIntérêt de gros</v>
      </c>
      <c r="B121" s="550" t="s">
        <v>106</v>
      </c>
      <c r="C121" s="785"/>
      <c r="D121" s="806">
        <v>610.67444444444448</v>
      </c>
      <c r="E121" s="807">
        <v>82441.05</v>
      </c>
      <c r="F121" s="785"/>
      <c r="G121" s="806">
        <v>957.82444444444445</v>
      </c>
      <c r="H121" s="807">
        <v>8620.42</v>
      </c>
      <c r="I121" s="785"/>
      <c r="J121" s="806">
        <v>727.1633333333333</v>
      </c>
      <c r="K121" s="807">
        <v>8725.9599999999991</v>
      </c>
      <c r="L121" s="785"/>
      <c r="M121" s="806">
        <v>1043.3488888888887</v>
      </c>
      <c r="N121" s="807">
        <v>9390.14</v>
      </c>
      <c r="O121" s="785"/>
      <c r="P121" s="806">
        <v>519.43624999999997</v>
      </c>
      <c r="Q121" s="807">
        <v>8310.98</v>
      </c>
      <c r="R121" s="785"/>
      <c r="S121" s="806">
        <v>488.76000000000005</v>
      </c>
      <c r="T121" s="807">
        <v>9286.44</v>
      </c>
      <c r="U121" s="785"/>
      <c r="V121" s="806">
        <v>619.82285714285717</v>
      </c>
      <c r="W121" s="807">
        <v>8677.52</v>
      </c>
      <c r="X121" s="785"/>
      <c r="Y121" s="806">
        <v>669.27555555555546</v>
      </c>
      <c r="Z121" s="807">
        <v>6023.48</v>
      </c>
      <c r="AA121" s="785"/>
      <c r="AB121" s="806">
        <v>475.4</v>
      </c>
      <c r="AC121" s="807">
        <v>5229.3999999999996</v>
      </c>
      <c r="AD121" s="785"/>
      <c r="AE121" s="806">
        <v>472.66199999999998</v>
      </c>
      <c r="AF121" s="807">
        <v>4726.62</v>
      </c>
      <c r="AG121" s="785"/>
      <c r="AH121" s="806">
        <v>489.75900000000001</v>
      </c>
      <c r="AI121" s="807">
        <v>4897.59</v>
      </c>
      <c r="AJ121" s="785"/>
      <c r="AK121" s="806">
        <v>976.88250000000005</v>
      </c>
      <c r="AL121" s="807">
        <v>3907.53</v>
      </c>
      <c r="AM121" s="785"/>
      <c r="AN121" s="806">
        <v>387.08083333333337</v>
      </c>
      <c r="AO121" s="807">
        <v>4644.97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25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>
        <v>0</v>
      </c>
      <c r="I122" s="847"/>
      <c r="J122" s="806">
        <v>0</v>
      </c>
      <c r="K122" s="794">
        <v>0</v>
      </c>
      <c r="L122" s="847"/>
      <c r="M122" s="806">
        <v>0</v>
      </c>
      <c r="N122" s="794">
        <v>0</v>
      </c>
      <c r="O122" s="847"/>
      <c r="P122" s="806">
        <v>0</v>
      </c>
      <c r="Q122" s="794">
        <v>0</v>
      </c>
      <c r="R122" s="847"/>
      <c r="S122" s="806">
        <v>0</v>
      </c>
      <c r="T122" s="794">
        <v>0</v>
      </c>
      <c r="U122" s="847"/>
      <c r="V122" s="806">
        <v>0</v>
      </c>
      <c r="W122" s="794">
        <v>0</v>
      </c>
      <c r="X122" s="847"/>
      <c r="Y122" s="806">
        <v>0</v>
      </c>
      <c r="Z122" s="794">
        <v>0</v>
      </c>
      <c r="AA122" s="847"/>
      <c r="AB122" s="806">
        <v>0</v>
      </c>
      <c r="AC122" s="794">
        <v>0</v>
      </c>
      <c r="AD122" s="847"/>
      <c r="AE122" s="806">
        <v>0</v>
      </c>
      <c r="AF122" s="794">
        <v>0</v>
      </c>
      <c r="AG122" s="847"/>
      <c r="AH122" s="806">
        <v>0</v>
      </c>
      <c r="AI122" s="794">
        <v>0</v>
      </c>
      <c r="AJ122" s="847"/>
      <c r="AK122" s="806">
        <v>0</v>
      </c>
      <c r="AL122" s="794">
        <v>0</v>
      </c>
      <c r="AM122" s="847"/>
      <c r="AN122" s="806">
        <v>0</v>
      </c>
      <c r="AO122" s="794">
        <v>0</v>
      </c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25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>
        <v>0</v>
      </c>
      <c r="I123" s="847"/>
      <c r="J123" s="806">
        <v>0</v>
      </c>
      <c r="K123" s="794">
        <v>0</v>
      </c>
      <c r="L123" s="847"/>
      <c r="M123" s="806">
        <v>0</v>
      </c>
      <c r="N123" s="794">
        <v>0</v>
      </c>
      <c r="O123" s="847"/>
      <c r="P123" s="806">
        <v>0</v>
      </c>
      <c r="Q123" s="794">
        <v>0</v>
      </c>
      <c r="R123" s="847"/>
      <c r="S123" s="806">
        <v>0</v>
      </c>
      <c r="T123" s="794">
        <v>0</v>
      </c>
      <c r="U123" s="847"/>
      <c r="V123" s="806">
        <v>0</v>
      </c>
      <c r="W123" s="794">
        <v>0</v>
      </c>
      <c r="X123" s="847"/>
      <c r="Y123" s="806">
        <v>0</v>
      </c>
      <c r="Z123" s="794">
        <v>0</v>
      </c>
      <c r="AA123" s="847"/>
      <c r="AB123" s="806">
        <v>0</v>
      </c>
      <c r="AC123" s="794">
        <v>0</v>
      </c>
      <c r="AD123" s="847"/>
      <c r="AE123" s="806">
        <v>0</v>
      </c>
      <c r="AF123" s="794">
        <v>0</v>
      </c>
      <c r="AG123" s="847"/>
      <c r="AH123" s="806">
        <v>0</v>
      </c>
      <c r="AI123" s="794">
        <v>0</v>
      </c>
      <c r="AJ123" s="847"/>
      <c r="AK123" s="806">
        <v>0</v>
      </c>
      <c r="AL123" s="794">
        <v>0</v>
      </c>
      <c r="AM123" s="847"/>
      <c r="AN123" s="806">
        <v>0</v>
      </c>
      <c r="AO123" s="794">
        <v>0</v>
      </c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25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 t="s">
        <v>108</v>
      </c>
      <c r="G124" s="806">
        <v>0</v>
      </c>
      <c r="H124" s="794">
        <v>0</v>
      </c>
      <c r="I124" s="847" t="s">
        <v>108</v>
      </c>
      <c r="J124" s="806">
        <v>0</v>
      </c>
      <c r="K124" s="794">
        <v>0</v>
      </c>
      <c r="L124" s="847" t="s">
        <v>108</v>
      </c>
      <c r="M124" s="806">
        <v>0</v>
      </c>
      <c r="N124" s="794">
        <v>0</v>
      </c>
      <c r="O124" s="847" t="s">
        <v>108</v>
      </c>
      <c r="P124" s="806">
        <v>0</v>
      </c>
      <c r="Q124" s="794">
        <v>0</v>
      </c>
      <c r="R124" s="847"/>
      <c r="S124" s="806">
        <v>0</v>
      </c>
      <c r="T124" s="794">
        <v>0</v>
      </c>
      <c r="U124" s="847"/>
      <c r="V124" s="806">
        <v>0</v>
      </c>
      <c r="W124" s="794">
        <v>0</v>
      </c>
      <c r="X124" s="847"/>
      <c r="Y124" s="806">
        <v>0</v>
      </c>
      <c r="Z124" s="794">
        <v>0</v>
      </c>
      <c r="AA124" s="847"/>
      <c r="AB124" s="806">
        <v>0</v>
      </c>
      <c r="AC124" s="794">
        <v>0</v>
      </c>
      <c r="AD124" s="847"/>
      <c r="AE124" s="806">
        <v>0</v>
      </c>
      <c r="AF124" s="794">
        <v>0</v>
      </c>
      <c r="AG124" s="847"/>
      <c r="AH124" s="806">
        <v>0</v>
      </c>
      <c r="AI124" s="794">
        <v>0</v>
      </c>
      <c r="AJ124" s="847"/>
      <c r="AK124" s="806">
        <v>0</v>
      </c>
      <c r="AL124" s="794">
        <v>0</v>
      </c>
      <c r="AM124" s="847"/>
      <c r="AN124" s="806">
        <v>0</v>
      </c>
      <c r="AO124" s="794">
        <v>0</v>
      </c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0.25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0.61621677438777445</v>
      </c>
      <c r="E125" s="814">
        <v>440164.48</v>
      </c>
      <c r="F125" s="812"/>
      <c r="G125" s="813"/>
      <c r="H125" s="814">
        <v>37027.18</v>
      </c>
      <c r="I125" s="812"/>
      <c r="J125" s="813"/>
      <c r="K125" s="814">
        <v>40560.82</v>
      </c>
      <c r="L125" s="812"/>
      <c r="M125" s="813"/>
      <c r="N125" s="814">
        <v>34024.99</v>
      </c>
      <c r="O125" s="812"/>
      <c r="P125" s="813"/>
      <c r="Q125" s="814">
        <v>47981.91</v>
      </c>
      <c r="R125" s="812" t="s">
        <v>108</v>
      </c>
      <c r="S125" s="813"/>
      <c r="T125" s="814">
        <v>53656.28</v>
      </c>
      <c r="U125" s="812" t="s">
        <v>108</v>
      </c>
      <c r="V125" s="813"/>
      <c r="W125" s="814">
        <v>34575.67</v>
      </c>
      <c r="X125" s="812" t="s">
        <v>108</v>
      </c>
      <c r="Y125" s="813"/>
      <c r="Z125" s="814">
        <v>34335.279999999999</v>
      </c>
      <c r="AA125" s="812" t="s">
        <v>108</v>
      </c>
      <c r="AB125" s="813"/>
      <c r="AC125" s="814">
        <v>31437.82</v>
      </c>
      <c r="AD125" s="812" t="s">
        <v>108</v>
      </c>
      <c r="AE125" s="813"/>
      <c r="AF125" s="814">
        <v>34181.01</v>
      </c>
      <c r="AG125" s="812" t="s">
        <v>108</v>
      </c>
      <c r="AH125" s="813"/>
      <c r="AI125" s="814">
        <v>33076.050000000003</v>
      </c>
      <c r="AJ125" s="812" t="s">
        <v>108</v>
      </c>
      <c r="AK125" s="813"/>
      <c r="AL125" s="814">
        <v>27377.389999999901</v>
      </c>
      <c r="AM125" s="812" t="s">
        <v>108</v>
      </c>
      <c r="AN125" s="813"/>
      <c r="AO125" s="814">
        <v>31930.080000000002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25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49528.989999999991</v>
      </c>
      <c r="F126" s="785"/>
      <c r="G126" s="793"/>
      <c r="H126" s="807">
        <v>4781.29</v>
      </c>
      <c r="I126" s="785"/>
      <c r="J126" s="793"/>
      <c r="K126" s="807">
        <v>4353.5600000000004</v>
      </c>
      <c r="L126" s="785"/>
      <c r="M126" s="793"/>
      <c r="N126" s="807">
        <v>3729.15</v>
      </c>
      <c r="O126" s="785"/>
      <c r="P126" s="793"/>
      <c r="Q126" s="807">
        <v>4165.3100000000004</v>
      </c>
      <c r="R126" s="785"/>
      <c r="S126" s="793"/>
      <c r="T126" s="807">
        <v>4429.1499999999996</v>
      </c>
      <c r="U126" s="785"/>
      <c r="V126" s="793"/>
      <c r="W126" s="807">
        <v>2909.35</v>
      </c>
      <c r="X126" s="785"/>
      <c r="Y126" s="793"/>
      <c r="Z126" s="807">
        <v>3986.27</v>
      </c>
      <c r="AA126" s="785"/>
      <c r="AB126" s="793"/>
      <c r="AC126" s="807">
        <v>3707.48</v>
      </c>
      <c r="AD126" s="785"/>
      <c r="AE126" s="793"/>
      <c r="AF126" s="807">
        <v>4551.6499999999996</v>
      </c>
      <c r="AG126" s="785"/>
      <c r="AH126" s="793"/>
      <c r="AI126" s="807">
        <v>5053.7700000000004</v>
      </c>
      <c r="AJ126" s="785"/>
      <c r="AK126" s="793"/>
      <c r="AL126" s="807">
        <v>4843.63</v>
      </c>
      <c r="AM126" s="785"/>
      <c r="AN126" s="793"/>
      <c r="AO126" s="807">
        <v>3018.38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25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35693.83</v>
      </c>
      <c r="F127" s="785"/>
      <c r="G127" s="793"/>
      <c r="H127" s="807">
        <v>2662.11</v>
      </c>
      <c r="I127" s="785"/>
      <c r="J127" s="793"/>
      <c r="K127" s="807">
        <v>2813.11</v>
      </c>
      <c r="L127" s="785"/>
      <c r="M127" s="793"/>
      <c r="N127" s="807">
        <v>2687.5</v>
      </c>
      <c r="O127" s="785"/>
      <c r="P127" s="793"/>
      <c r="Q127" s="807">
        <v>2612.09</v>
      </c>
      <c r="R127" s="785"/>
      <c r="S127" s="793"/>
      <c r="T127" s="807">
        <v>3118.35</v>
      </c>
      <c r="U127" s="785"/>
      <c r="V127" s="793"/>
      <c r="W127" s="807">
        <v>2701.3</v>
      </c>
      <c r="X127" s="785"/>
      <c r="Y127" s="793"/>
      <c r="Z127" s="807">
        <v>2825.31</v>
      </c>
      <c r="AA127" s="785"/>
      <c r="AB127" s="793"/>
      <c r="AC127" s="807">
        <v>2767.11</v>
      </c>
      <c r="AD127" s="785"/>
      <c r="AE127" s="793"/>
      <c r="AF127" s="807">
        <v>2836.3</v>
      </c>
      <c r="AG127" s="785"/>
      <c r="AH127" s="793"/>
      <c r="AI127" s="807">
        <v>3054.3</v>
      </c>
      <c r="AJ127" s="785"/>
      <c r="AK127" s="793"/>
      <c r="AL127" s="807">
        <v>3812.17</v>
      </c>
      <c r="AM127" s="785"/>
      <c r="AN127" s="793"/>
      <c r="AO127" s="807">
        <v>3804.18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25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25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25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25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25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25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47807.299999999996</v>
      </c>
      <c r="F133" s="785"/>
      <c r="G133" s="793"/>
      <c r="H133" s="807">
        <v>5487.62</v>
      </c>
      <c r="I133" s="785"/>
      <c r="J133" s="793"/>
      <c r="K133" s="807">
        <v>3748.36</v>
      </c>
      <c r="L133" s="785"/>
      <c r="M133" s="793"/>
      <c r="N133" s="807">
        <v>3075.37</v>
      </c>
      <c r="O133" s="785"/>
      <c r="P133" s="793"/>
      <c r="Q133" s="807">
        <v>2091.5100000000002</v>
      </c>
      <c r="R133" s="785"/>
      <c r="S133" s="793"/>
      <c r="T133" s="807">
        <v>4551.4399999999996</v>
      </c>
      <c r="U133" s="785"/>
      <c r="V133" s="793"/>
      <c r="W133" s="807">
        <v>5315.87</v>
      </c>
      <c r="X133" s="785"/>
      <c r="Y133" s="793"/>
      <c r="Z133" s="807">
        <v>3627.13</v>
      </c>
      <c r="AA133" s="785"/>
      <c r="AB133" s="793"/>
      <c r="AC133" s="807">
        <v>2408.23</v>
      </c>
      <c r="AD133" s="785"/>
      <c r="AE133" s="793"/>
      <c r="AF133" s="807">
        <v>3250.99</v>
      </c>
      <c r="AG133" s="785"/>
      <c r="AH133" s="793"/>
      <c r="AI133" s="807">
        <v>3482.38</v>
      </c>
      <c r="AJ133" s="785"/>
      <c r="AK133" s="793"/>
      <c r="AL133" s="807">
        <v>2451.91</v>
      </c>
      <c r="AM133" s="785"/>
      <c r="AN133" s="793"/>
      <c r="AO133" s="807">
        <v>8316.49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25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40705.270000000004</v>
      </c>
      <c r="F134" s="815"/>
      <c r="G134" s="816"/>
      <c r="H134" s="817">
        <v>4114.8</v>
      </c>
      <c r="I134" s="815"/>
      <c r="J134" s="816"/>
      <c r="K134" s="817">
        <v>3887.38</v>
      </c>
      <c r="L134" s="815"/>
      <c r="M134" s="816"/>
      <c r="N134" s="817">
        <v>3796.64</v>
      </c>
      <c r="O134" s="815"/>
      <c r="P134" s="816"/>
      <c r="Q134" s="817">
        <v>4566.9399999999996</v>
      </c>
      <c r="R134" s="815"/>
      <c r="S134" s="816"/>
      <c r="T134" s="817">
        <v>6104.86</v>
      </c>
      <c r="U134" s="815"/>
      <c r="V134" s="816"/>
      <c r="W134" s="817">
        <v>3396.29</v>
      </c>
      <c r="X134" s="815"/>
      <c r="Y134" s="816"/>
      <c r="Z134" s="817">
        <v>2567.4</v>
      </c>
      <c r="AA134" s="815"/>
      <c r="AB134" s="816"/>
      <c r="AC134" s="817">
        <v>2082.88</v>
      </c>
      <c r="AD134" s="815"/>
      <c r="AE134" s="816"/>
      <c r="AF134" s="817">
        <v>2007.03</v>
      </c>
      <c r="AG134" s="815"/>
      <c r="AH134" s="816"/>
      <c r="AI134" s="817">
        <v>2573.73</v>
      </c>
      <c r="AJ134" s="815"/>
      <c r="AK134" s="816"/>
      <c r="AL134" s="817">
        <v>2303.4</v>
      </c>
      <c r="AM134" s="815"/>
      <c r="AN134" s="816"/>
      <c r="AO134" s="817">
        <v>3303.92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25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26248.959999999999</v>
      </c>
      <c r="F135" s="785"/>
      <c r="G135" s="793"/>
      <c r="H135" s="807">
        <v>1894.1</v>
      </c>
      <c r="I135" s="785"/>
      <c r="J135" s="793"/>
      <c r="K135" s="807">
        <v>1900.99</v>
      </c>
      <c r="L135" s="785"/>
      <c r="M135" s="793"/>
      <c r="N135" s="807">
        <v>1688.9</v>
      </c>
      <c r="O135" s="785"/>
      <c r="P135" s="793"/>
      <c r="Q135" s="807">
        <v>1987.58</v>
      </c>
      <c r="R135" s="785"/>
      <c r="S135" s="793"/>
      <c r="T135" s="807">
        <v>2606.46</v>
      </c>
      <c r="U135" s="785"/>
      <c r="V135" s="793"/>
      <c r="W135" s="807">
        <v>2149.19</v>
      </c>
      <c r="X135" s="785"/>
      <c r="Y135" s="793"/>
      <c r="Z135" s="807">
        <v>2097.0100000000002</v>
      </c>
      <c r="AA135" s="785"/>
      <c r="AB135" s="793"/>
      <c r="AC135" s="807">
        <v>2343.4899999999998</v>
      </c>
      <c r="AD135" s="785"/>
      <c r="AE135" s="793"/>
      <c r="AF135" s="807">
        <v>2020.73</v>
      </c>
      <c r="AG135" s="785"/>
      <c r="AH135" s="793"/>
      <c r="AI135" s="807">
        <v>2765.28</v>
      </c>
      <c r="AJ135" s="785"/>
      <c r="AK135" s="793"/>
      <c r="AL135" s="807">
        <v>1663.16</v>
      </c>
      <c r="AM135" s="785"/>
      <c r="AN135" s="793"/>
      <c r="AO135" s="807">
        <v>3132.07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25">
      <c r="A136" s="540" t="str">
        <f t="shared" si="2"/>
        <v>Véhicules usagésCsst</v>
      </c>
      <c r="B136" s="626" t="s">
        <v>116</v>
      </c>
      <c r="C136" s="785"/>
      <c r="D136" s="793"/>
      <c r="E136" s="807">
        <v>4187.5700000000006</v>
      </c>
      <c r="F136" s="785"/>
      <c r="G136" s="793"/>
      <c r="H136" s="807">
        <v>497.9</v>
      </c>
      <c r="I136" s="785"/>
      <c r="J136" s="793"/>
      <c r="K136" s="807">
        <v>619.66999999999996</v>
      </c>
      <c r="L136" s="785"/>
      <c r="M136" s="793"/>
      <c r="N136" s="807">
        <v>445.53</v>
      </c>
      <c r="O136" s="785"/>
      <c r="P136" s="793"/>
      <c r="Q136" s="807">
        <v>590.58000000000004</v>
      </c>
      <c r="R136" s="785"/>
      <c r="S136" s="793"/>
      <c r="T136" s="807">
        <v>871.7</v>
      </c>
      <c r="U136" s="785"/>
      <c r="V136" s="793"/>
      <c r="W136" s="807">
        <v>637.46</v>
      </c>
      <c r="X136" s="785"/>
      <c r="Y136" s="793"/>
      <c r="Z136" s="807">
        <v>129.19</v>
      </c>
      <c r="AA136" s="785"/>
      <c r="AB136" s="793"/>
      <c r="AC136" s="807">
        <v>133.01</v>
      </c>
      <c r="AD136" s="785"/>
      <c r="AE136" s="793"/>
      <c r="AF136" s="807">
        <v>65.36</v>
      </c>
      <c r="AG136" s="785"/>
      <c r="AH136" s="793"/>
      <c r="AI136" s="807">
        <v>48.92</v>
      </c>
      <c r="AJ136" s="785"/>
      <c r="AK136" s="793"/>
      <c r="AL136" s="807">
        <v>66.73</v>
      </c>
      <c r="AM136" s="785"/>
      <c r="AN136" s="793"/>
      <c r="AO136" s="807">
        <v>81.52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25">
      <c r="A137" s="540"/>
      <c r="B137" s="550"/>
      <c r="C137" s="811"/>
      <c r="D137" s="818"/>
      <c r="E137" s="819"/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0.25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0.3330245934293059</v>
      </c>
      <c r="E138" s="814">
        <v>237879.92</v>
      </c>
      <c r="F138" s="812"/>
      <c r="G138" s="813"/>
      <c r="H138" s="814">
        <v>22246.82</v>
      </c>
      <c r="I138" s="812"/>
      <c r="J138" s="813"/>
      <c r="K138" s="814">
        <v>20132.07</v>
      </c>
      <c r="L138" s="812"/>
      <c r="M138" s="813"/>
      <c r="N138" s="814">
        <v>18232.09</v>
      </c>
      <c r="O138" s="812"/>
      <c r="P138" s="813"/>
      <c r="Q138" s="814">
        <v>18823.009999999998</v>
      </c>
      <c r="R138" s="812"/>
      <c r="S138" s="813"/>
      <c r="T138" s="814">
        <v>24490.959999999999</v>
      </c>
      <c r="U138" s="812"/>
      <c r="V138" s="813"/>
      <c r="W138" s="814">
        <v>19918.46</v>
      </c>
      <c r="X138" s="812"/>
      <c r="Y138" s="813"/>
      <c r="Z138" s="814">
        <v>18041.309999999899</v>
      </c>
      <c r="AA138" s="812"/>
      <c r="AB138" s="813"/>
      <c r="AC138" s="814">
        <v>16251.2</v>
      </c>
      <c r="AD138" s="812"/>
      <c r="AE138" s="813"/>
      <c r="AF138" s="814">
        <v>17541.060000000001</v>
      </c>
      <c r="AG138" s="812"/>
      <c r="AH138" s="813"/>
      <c r="AI138" s="814">
        <v>19787.379999999899</v>
      </c>
      <c r="AJ138" s="812"/>
      <c r="AK138" s="813"/>
      <c r="AL138" s="814">
        <v>17950</v>
      </c>
      <c r="AM138" s="812"/>
      <c r="AN138" s="813"/>
      <c r="AO138" s="814">
        <v>24465.56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25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25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25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13567.79</v>
      </c>
      <c r="F141" s="820"/>
      <c r="G141" s="821"/>
      <c r="H141" s="822">
        <v>1045.51</v>
      </c>
      <c r="I141" s="820"/>
      <c r="J141" s="821"/>
      <c r="K141" s="822">
        <v>1040</v>
      </c>
      <c r="L141" s="820"/>
      <c r="M141" s="821"/>
      <c r="N141" s="822">
        <v>1181.71</v>
      </c>
      <c r="O141" s="820"/>
      <c r="P141" s="821"/>
      <c r="Q141" s="822">
        <v>1083.7</v>
      </c>
      <c r="R141" s="820"/>
      <c r="S141" s="821"/>
      <c r="T141" s="822">
        <v>1261.03</v>
      </c>
      <c r="U141" s="820"/>
      <c r="V141" s="821"/>
      <c r="W141" s="822">
        <v>1088.93</v>
      </c>
      <c r="X141" s="820"/>
      <c r="Y141" s="821"/>
      <c r="Z141" s="822">
        <v>976.6</v>
      </c>
      <c r="AA141" s="820"/>
      <c r="AB141" s="821"/>
      <c r="AC141" s="822">
        <v>1124.26</v>
      </c>
      <c r="AD141" s="820"/>
      <c r="AE141" s="821"/>
      <c r="AF141" s="822">
        <v>867.37</v>
      </c>
      <c r="AG141" s="820"/>
      <c r="AH141" s="821"/>
      <c r="AI141" s="822">
        <v>1075.23</v>
      </c>
      <c r="AJ141" s="820"/>
      <c r="AK141" s="821"/>
      <c r="AL141" s="822">
        <v>1118.01</v>
      </c>
      <c r="AM141" s="820"/>
      <c r="AN141" s="821"/>
      <c r="AO141" s="822">
        <v>1705.44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25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18005.049999999996</v>
      </c>
      <c r="F142" s="785"/>
      <c r="G142" s="793"/>
      <c r="H142" s="807">
        <v>1332.2</v>
      </c>
      <c r="I142" s="785"/>
      <c r="J142" s="793"/>
      <c r="K142" s="807">
        <v>1248.05</v>
      </c>
      <c r="L142" s="785"/>
      <c r="M142" s="793"/>
      <c r="N142" s="807">
        <v>1248.05</v>
      </c>
      <c r="O142" s="785"/>
      <c r="P142" s="793"/>
      <c r="Q142" s="807">
        <v>1295.0999999999999</v>
      </c>
      <c r="R142" s="785"/>
      <c r="S142" s="793"/>
      <c r="T142" s="807">
        <v>1819.08</v>
      </c>
      <c r="U142" s="785"/>
      <c r="V142" s="793"/>
      <c r="W142" s="807">
        <v>1618.64</v>
      </c>
      <c r="X142" s="785"/>
      <c r="Y142" s="793"/>
      <c r="Z142" s="807">
        <v>1615.42</v>
      </c>
      <c r="AA142" s="785"/>
      <c r="AB142" s="793"/>
      <c r="AC142" s="807">
        <v>1627.09</v>
      </c>
      <c r="AD142" s="785"/>
      <c r="AE142" s="793"/>
      <c r="AF142" s="807">
        <v>1472.05</v>
      </c>
      <c r="AG142" s="785"/>
      <c r="AH142" s="793"/>
      <c r="AI142" s="807">
        <v>1689.63</v>
      </c>
      <c r="AJ142" s="785"/>
      <c r="AK142" s="793"/>
      <c r="AL142" s="807">
        <v>1497.55</v>
      </c>
      <c r="AM142" s="785"/>
      <c r="AN142" s="793"/>
      <c r="AO142" s="807">
        <v>1542.19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25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2536.6299999999997</v>
      </c>
      <c r="F143" s="785"/>
      <c r="G143" s="793"/>
      <c r="H143" s="807">
        <v>149.66</v>
      </c>
      <c r="I143" s="785"/>
      <c r="J143" s="793"/>
      <c r="K143" s="807">
        <v>80.31</v>
      </c>
      <c r="L143" s="785"/>
      <c r="M143" s="793"/>
      <c r="N143" s="807">
        <v>383.93</v>
      </c>
      <c r="O143" s="785"/>
      <c r="P143" s="793"/>
      <c r="Q143" s="807">
        <v>394.46</v>
      </c>
      <c r="R143" s="785"/>
      <c r="S143" s="793"/>
      <c r="T143" s="807">
        <v>181.56</v>
      </c>
      <c r="U143" s="785"/>
      <c r="V143" s="793"/>
      <c r="W143" s="807">
        <v>82.33</v>
      </c>
      <c r="X143" s="785"/>
      <c r="Y143" s="793"/>
      <c r="Z143" s="807">
        <v>-291.69</v>
      </c>
      <c r="AA143" s="785"/>
      <c r="AB143" s="793"/>
      <c r="AC143" s="807">
        <v>275.66000000000003</v>
      </c>
      <c r="AD143" s="785"/>
      <c r="AE143" s="793"/>
      <c r="AF143" s="807">
        <v>191.14</v>
      </c>
      <c r="AG143" s="785"/>
      <c r="AH143" s="793"/>
      <c r="AI143" s="807">
        <v>224.01</v>
      </c>
      <c r="AJ143" s="785"/>
      <c r="AK143" s="793"/>
      <c r="AL143" s="807">
        <v>70.63</v>
      </c>
      <c r="AM143" s="785"/>
      <c r="AN143" s="793"/>
      <c r="AO143" s="807">
        <v>794.63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25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10856.239999999998</v>
      </c>
      <c r="F144" s="820"/>
      <c r="G144" s="821"/>
      <c r="H144" s="822">
        <v>715.35</v>
      </c>
      <c r="I144" s="820"/>
      <c r="J144" s="821"/>
      <c r="K144" s="822">
        <v>746.21</v>
      </c>
      <c r="L144" s="820"/>
      <c r="M144" s="821"/>
      <c r="N144" s="822">
        <v>648.87</v>
      </c>
      <c r="O144" s="820"/>
      <c r="P144" s="821"/>
      <c r="Q144" s="822">
        <v>758.85</v>
      </c>
      <c r="R144" s="820"/>
      <c r="S144" s="821"/>
      <c r="T144" s="822">
        <v>898.12</v>
      </c>
      <c r="U144" s="820"/>
      <c r="V144" s="821"/>
      <c r="W144" s="822">
        <v>1004.86</v>
      </c>
      <c r="X144" s="820"/>
      <c r="Y144" s="821"/>
      <c r="Z144" s="822">
        <v>938.9</v>
      </c>
      <c r="AA144" s="820"/>
      <c r="AB144" s="821"/>
      <c r="AC144" s="822">
        <v>1043.6199999999999</v>
      </c>
      <c r="AD144" s="820"/>
      <c r="AE144" s="821"/>
      <c r="AF144" s="822">
        <v>1038.4000000000001</v>
      </c>
      <c r="AG144" s="820"/>
      <c r="AH144" s="821"/>
      <c r="AI144" s="822">
        <v>896.26</v>
      </c>
      <c r="AJ144" s="820"/>
      <c r="AK144" s="821"/>
      <c r="AL144" s="822">
        <v>848.97</v>
      </c>
      <c r="AM144" s="820"/>
      <c r="AN144" s="821"/>
      <c r="AO144" s="822">
        <v>1317.83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25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283.45</v>
      </c>
      <c r="F145" s="785"/>
      <c r="G145" s="793"/>
      <c r="H145" s="807">
        <v>0</v>
      </c>
      <c r="I145" s="785"/>
      <c r="J145" s="793"/>
      <c r="K145" s="807">
        <v>5</v>
      </c>
      <c r="L145" s="785"/>
      <c r="M145" s="793"/>
      <c r="N145" s="807">
        <v>0</v>
      </c>
      <c r="O145" s="785"/>
      <c r="P145" s="793"/>
      <c r="Q145" s="807">
        <v>0</v>
      </c>
      <c r="R145" s="785"/>
      <c r="S145" s="793"/>
      <c r="T145" s="807">
        <v>0</v>
      </c>
      <c r="U145" s="785"/>
      <c r="V145" s="793"/>
      <c r="W145" s="807">
        <v>0</v>
      </c>
      <c r="X145" s="785"/>
      <c r="Y145" s="793"/>
      <c r="Z145" s="807">
        <v>0</v>
      </c>
      <c r="AA145" s="785"/>
      <c r="AB145" s="793"/>
      <c r="AC145" s="807">
        <v>0</v>
      </c>
      <c r="AD145" s="785"/>
      <c r="AE145" s="793"/>
      <c r="AF145" s="807">
        <v>0</v>
      </c>
      <c r="AG145" s="785"/>
      <c r="AH145" s="793"/>
      <c r="AI145" s="807">
        <v>167.94</v>
      </c>
      <c r="AJ145" s="785"/>
      <c r="AK145" s="793"/>
      <c r="AL145" s="807">
        <v>2.4</v>
      </c>
      <c r="AM145" s="785"/>
      <c r="AN145" s="793"/>
      <c r="AO145" s="807">
        <v>108.11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25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185.07</v>
      </c>
      <c r="F146" s="785"/>
      <c r="G146" s="793"/>
      <c r="H146" s="807">
        <v>0</v>
      </c>
      <c r="I146" s="785"/>
      <c r="J146" s="793"/>
      <c r="K146" s="807">
        <v>0</v>
      </c>
      <c r="L146" s="785"/>
      <c r="M146" s="793"/>
      <c r="N146" s="807">
        <v>0</v>
      </c>
      <c r="O146" s="785"/>
      <c r="P146" s="793"/>
      <c r="Q146" s="807">
        <v>0</v>
      </c>
      <c r="R146" s="785"/>
      <c r="S146" s="793"/>
      <c r="T146" s="807">
        <v>0</v>
      </c>
      <c r="U146" s="785"/>
      <c r="V146" s="793"/>
      <c r="W146" s="807">
        <v>17.350000000000001</v>
      </c>
      <c r="X146" s="785"/>
      <c r="Y146" s="793"/>
      <c r="Z146" s="807">
        <v>112.72</v>
      </c>
      <c r="AA146" s="785"/>
      <c r="AB146" s="793"/>
      <c r="AC146" s="807">
        <v>55</v>
      </c>
      <c r="AD146" s="785"/>
      <c r="AE146" s="793"/>
      <c r="AF146" s="807">
        <v>0</v>
      </c>
      <c r="AG146" s="785"/>
      <c r="AH146" s="793"/>
      <c r="AI146" s="807">
        <v>0</v>
      </c>
      <c r="AJ146" s="785"/>
      <c r="AK146" s="793"/>
      <c r="AL146" s="807">
        <v>0</v>
      </c>
      <c r="AM146" s="785"/>
      <c r="AN146" s="793"/>
      <c r="AO146" s="807">
        <v>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25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1993.16</v>
      </c>
      <c r="F147" s="785"/>
      <c r="G147" s="793"/>
      <c r="H147" s="807">
        <v>248.84</v>
      </c>
      <c r="I147" s="785"/>
      <c r="J147" s="793"/>
      <c r="K147" s="807">
        <v>156.19999999999999</v>
      </c>
      <c r="L147" s="785"/>
      <c r="M147" s="793"/>
      <c r="N147" s="807">
        <v>35.04</v>
      </c>
      <c r="O147" s="785"/>
      <c r="P147" s="793"/>
      <c r="Q147" s="807">
        <v>104.08</v>
      </c>
      <c r="R147" s="785"/>
      <c r="S147" s="793"/>
      <c r="T147" s="807">
        <v>294.20999999999998</v>
      </c>
      <c r="U147" s="785"/>
      <c r="V147" s="793"/>
      <c r="W147" s="807">
        <v>111.73</v>
      </c>
      <c r="X147" s="785"/>
      <c r="Y147" s="793"/>
      <c r="Z147" s="807">
        <v>166.96</v>
      </c>
      <c r="AA147" s="785"/>
      <c r="AB147" s="793"/>
      <c r="AC147" s="807">
        <v>196.62</v>
      </c>
      <c r="AD147" s="785"/>
      <c r="AE147" s="793"/>
      <c r="AF147" s="807">
        <v>74.72</v>
      </c>
      <c r="AG147" s="785"/>
      <c r="AH147" s="793"/>
      <c r="AI147" s="807">
        <v>190.39</v>
      </c>
      <c r="AJ147" s="785"/>
      <c r="AK147" s="793"/>
      <c r="AL147" s="807">
        <v>306.95999999999998</v>
      </c>
      <c r="AM147" s="785"/>
      <c r="AN147" s="793"/>
      <c r="AO147" s="807">
        <v>107.41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25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1006.4</v>
      </c>
      <c r="F148" s="785"/>
      <c r="G148" s="793"/>
      <c r="H148" s="807">
        <v>74.849999999999994</v>
      </c>
      <c r="I148" s="785"/>
      <c r="J148" s="793"/>
      <c r="K148" s="807">
        <v>74.739999999999995</v>
      </c>
      <c r="L148" s="785"/>
      <c r="M148" s="793"/>
      <c r="N148" s="807">
        <v>93.55</v>
      </c>
      <c r="O148" s="785"/>
      <c r="P148" s="793"/>
      <c r="Q148" s="807">
        <v>81.98</v>
      </c>
      <c r="R148" s="785"/>
      <c r="S148" s="793"/>
      <c r="T148" s="807">
        <v>86.42</v>
      </c>
      <c r="U148" s="785"/>
      <c r="V148" s="793"/>
      <c r="W148" s="807">
        <v>104.99</v>
      </c>
      <c r="X148" s="785"/>
      <c r="Y148" s="793"/>
      <c r="Z148" s="807">
        <v>74.790000000000006</v>
      </c>
      <c r="AA148" s="785"/>
      <c r="AB148" s="793"/>
      <c r="AC148" s="807">
        <v>82.67</v>
      </c>
      <c r="AD148" s="785"/>
      <c r="AE148" s="793"/>
      <c r="AF148" s="807">
        <v>75.25</v>
      </c>
      <c r="AG148" s="785"/>
      <c r="AH148" s="793"/>
      <c r="AI148" s="807">
        <v>76.97</v>
      </c>
      <c r="AJ148" s="785"/>
      <c r="AK148" s="793"/>
      <c r="AL148" s="807">
        <v>118.1</v>
      </c>
      <c r="AM148" s="785"/>
      <c r="AN148" s="793"/>
      <c r="AO148" s="807">
        <v>62.09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25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1784.6299999999997</v>
      </c>
      <c r="F149" s="785"/>
      <c r="G149" s="793"/>
      <c r="H149" s="807">
        <v>112.66</v>
      </c>
      <c r="I149" s="785"/>
      <c r="J149" s="793"/>
      <c r="K149" s="807">
        <v>195.37</v>
      </c>
      <c r="L149" s="785"/>
      <c r="M149" s="793"/>
      <c r="N149" s="807">
        <v>71.19</v>
      </c>
      <c r="O149" s="785"/>
      <c r="P149" s="793"/>
      <c r="Q149" s="807">
        <v>96.34</v>
      </c>
      <c r="R149" s="785"/>
      <c r="S149" s="793"/>
      <c r="T149" s="807">
        <v>317.89</v>
      </c>
      <c r="U149" s="785"/>
      <c r="V149" s="793"/>
      <c r="W149" s="807">
        <v>302.58999999999997</v>
      </c>
      <c r="X149" s="785"/>
      <c r="Y149" s="793"/>
      <c r="Z149" s="807">
        <v>178.6</v>
      </c>
      <c r="AA149" s="785"/>
      <c r="AB149" s="793"/>
      <c r="AC149" s="807">
        <v>44.24</v>
      </c>
      <c r="AD149" s="785"/>
      <c r="AE149" s="793"/>
      <c r="AF149" s="807">
        <v>78.02</v>
      </c>
      <c r="AG149" s="785"/>
      <c r="AH149" s="793"/>
      <c r="AI149" s="807">
        <v>135.56</v>
      </c>
      <c r="AJ149" s="785"/>
      <c r="AK149" s="793"/>
      <c r="AL149" s="807">
        <v>198.33</v>
      </c>
      <c r="AM149" s="785"/>
      <c r="AN149" s="793"/>
      <c r="AO149" s="807">
        <v>53.84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25">
      <c r="A150" s="540" t="str">
        <f t="shared" si="2"/>
        <v>Véhicules usagésDivers</v>
      </c>
      <c r="B150" s="550" t="s">
        <v>129</v>
      </c>
      <c r="C150" s="785"/>
      <c r="D150" s="793"/>
      <c r="E150" s="807">
        <v>2016.86</v>
      </c>
      <c r="F150" s="785"/>
      <c r="G150" s="793"/>
      <c r="H150" s="807">
        <v>213.68</v>
      </c>
      <c r="I150" s="785"/>
      <c r="J150" s="793"/>
      <c r="K150" s="807">
        <v>145.15</v>
      </c>
      <c r="L150" s="785"/>
      <c r="M150" s="793"/>
      <c r="N150" s="807">
        <v>161.44999999999999</v>
      </c>
      <c r="O150" s="785"/>
      <c r="P150" s="793"/>
      <c r="Q150" s="807">
        <v>185.1</v>
      </c>
      <c r="R150" s="785"/>
      <c r="S150" s="793"/>
      <c r="T150" s="807">
        <v>144.6</v>
      </c>
      <c r="U150" s="785"/>
      <c r="V150" s="793"/>
      <c r="W150" s="807">
        <v>144.6</v>
      </c>
      <c r="X150" s="785"/>
      <c r="Y150" s="793"/>
      <c r="Z150" s="807">
        <v>144.6</v>
      </c>
      <c r="AA150" s="785"/>
      <c r="AB150" s="793"/>
      <c r="AC150" s="807">
        <v>185.1</v>
      </c>
      <c r="AD150" s="785"/>
      <c r="AE150" s="793"/>
      <c r="AF150" s="807">
        <v>144.6</v>
      </c>
      <c r="AG150" s="785"/>
      <c r="AH150" s="793"/>
      <c r="AI150" s="807">
        <v>144.6</v>
      </c>
      <c r="AJ150" s="785"/>
      <c r="AK150" s="793"/>
      <c r="AL150" s="807">
        <v>164.4</v>
      </c>
      <c r="AM150" s="785"/>
      <c r="AN150" s="793"/>
      <c r="AO150" s="807">
        <v>238.98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25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729.47</v>
      </c>
      <c r="F151" s="785"/>
      <c r="G151" s="793"/>
      <c r="H151" s="807">
        <v>-282.73</v>
      </c>
      <c r="I151" s="785"/>
      <c r="J151" s="793"/>
      <c r="K151" s="807">
        <v>138.19</v>
      </c>
      <c r="L151" s="785"/>
      <c r="M151" s="793"/>
      <c r="N151" s="807">
        <v>155.58000000000001</v>
      </c>
      <c r="O151" s="785"/>
      <c r="P151" s="793"/>
      <c r="Q151" s="807">
        <v>65.39</v>
      </c>
      <c r="R151" s="785"/>
      <c r="S151" s="793"/>
      <c r="T151" s="807">
        <v>-198.8</v>
      </c>
      <c r="U151" s="785"/>
      <c r="V151" s="793"/>
      <c r="W151" s="807">
        <v>-10.73</v>
      </c>
      <c r="X151" s="785"/>
      <c r="Y151" s="793"/>
      <c r="Z151" s="807">
        <v>499.67</v>
      </c>
      <c r="AA151" s="785"/>
      <c r="AB151" s="793"/>
      <c r="AC151" s="807">
        <v>216.67</v>
      </c>
      <c r="AD151" s="785"/>
      <c r="AE151" s="793"/>
      <c r="AF151" s="807">
        <v>39.97</v>
      </c>
      <c r="AG151" s="785"/>
      <c r="AH151" s="793"/>
      <c r="AI151" s="807">
        <v>59.02</v>
      </c>
      <c r="AJ151" s="785"/>
      <c r="AK151" s="793"/>
      <c r="AL151" s="807">
        <v>-26.49</v>
      </c>
      <c r="AM151" s="785"/>
      <c r="AN151" s="793"/>
      <c r="AO151" s="807">
        <v>73.73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25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7974.04</v>
      </c>
      <c r="F152" s="785"/>
      <c r="G152" s="793"/>
      <c r="H152" s="807">
        <v>351.38</v>
      </c>
      <c r="I152" s="785"/>
      <c r="J152" s="793"/>
      <c r="K152" s="807">
        <v>364.99</v>
      </c>
      <c r="L152" s="785"/>
      <c r="M152" s="793"/>
      <c r="N152" s="807">
        <v>611.19000000000005</v>
      </c>
      <c r="O152" s="785"/>
      <c r="P152" s="793"/>
      <c r="Q152" s="807">
        <v>975.13</v>
      </c>
      <c r="R152" s="785"/>
      <c r="S152" s="793"/>
      <c r="T152" s="807">
        <v>913.13</v>
      </c>
      <c r="U152" s="785"/>
      <c r="V152" s="793"/>
      <c r="W152" s="807">
        <v>547.04</v>
      </c>
      <c r="X152" s="785"/>
      <c r="Y152" s="793"/>
      <c r="Z152" s="807">
        <v>665.27</v>
      </c>
      <c r="AA152" s="785"/>
      <c r="AB152" s="793"/>
      <c r="AC152" s="807">
        <v>443.94</v>
      </c>
      <c r="AD152" s="785"/>
      <c r="AE152" s="793"/>
      <c r="AF152" s="807">
        <v>592.16</v>
      </c>
      <c r="AG152" s="785"/>
      <c r="AH152" s="793"/>
      <c r="AI152" s="807">
        <v>877.44</v>
      </c>
      <c r="AJ152" s="785"/>
      <c r="AK152" s="793"/>
      <c r="AL152" s="807">
        <v>1064.24</v>
      </c>
      <c r="AM152" s="785"/>
      <c r="AN152" s="793"/>
      <c r="AO152" s="807">
        <v>568.13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25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25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25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 t="s">
        <v>108</v>
      </c>
      <c r="G155" s="818">
        <v>0</v>
      </c>
      <c r="H155" s="794"/>
      <c r="I155" s="811" t="s">
        <v>108</v>
      </c>
      <c r="J155" s="818">
        <v>0</v>
      </c>
      <c r="K155" s="794"/>
      <c r="L155" s="811" t="s">
        <v>108</v>
      </c>
      <c r="M155" s="818">
        <v>0</v>
      </c>
      <c r="N155" s="794"/>
      <c r="O155" s="811" t="s">
        <v>108</v>
      </c>
      <c r="P155" s="818">
        <v>0</v>
      </c>
      <c r="Q155" s="794"/>
      <c r="R155" s="811" t="s">
        <v>108</v>
      </c>
      <c r="S155" s="818">
        <v>0</v>
      </c>
      <c r="T155" s="794"/>
      <c r="U155" s="811" t="s">
        <v>108</v>
      </c>
      <c r="V155" s="818">
        <v>0</v>
      </c>
      <c r="W155" s="794"/>
      <c r="X155" s="811" t="s">
        <v>108</v>
      </c>
      <c r="Y155" s="818">
        <v>0</v>
      </c>
      <c r="Z155" s="794"/>
      <c r="AA155" s="811" t="s">
        <v>108</v>
      </c>
      <c r="AB155" s="818">
        <v>0</v>
      </c>
      <c r="AC155" s="794"/>
      <c r="AD155" s="811" t="s">
        <v>108</v>
      </c>
      <c r="AE155" s="818">
        <v>0</v>
      </c>
      <c r="AF155" s="794"/>
      <c r="AG155" s="811" t="s">
        <v>108</v>
      </c>
      <c r="AH155" s="818">
        <v>0</v>
      </c>
      <c r="AI155" s="794"/>
      <c r="AJ155" s="811" t="s">
        <v>108</v>
      </c>
      <c r="AK155" s="818">
        <v>0</v>
      </c>
      <c r="AL155" s="794"/>
      <c r="AM155" s="811" t="s">
        <v>108</v>
      </c>
      <c r="AN155" s="818">
        <v>0</v>
      </c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0.25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8.5312437316373113E-2</v>
      </c>
      <c r="E156" s="814">
        <v>60938.789999999994</v>
      </c>
      <c r="F156" s="812"/>
      <c r="G156" s="813"/>
      <c r="H156" s="814">
        <v>3961.3999999999901</v>
      </c>
      <c r="I156" s="812"/>
      <c r="J156" s="813"/>
      <c r="K156" s="814">
        <v>4194.21</v>
      </c>
      <c r="L156" s="812"/>
      <c r="M156" s="813"/>
      <c r="N156" s="814">
        <v>4590.5599999999904</v>
      </c>
      <c r="O156" s="812"/>
      <c r="P156" s="813"/>
      <c r="Q156" s="814">
        <v>5040.13</v>
      </c>
      <c r="R156" s="812"/>
      <c r="S156" s="813"/>
      <c r="T156" s="814">
        <v>5717.24</v>
      </c>
      <c r="U156" s="812"/>
      <c r="V156" s="813"/>
      <c r="W156" s="814">
        <v>5012.33</v>
      </c>
      <c r="X156" s="812"/>
      <c r="Y156" s="813"/>
      <c r="Z156" s="814">
        <v>5081.84</v>
      </c>
      <c r="AA156" s="812"/>
      <c r="AB156" s="813"/>
      <c r="AC156" s="814">
        <v>5294.8699999999899</v>
      </c>
      <c r="AD156" s="812"/>
      <c r="AE156" s="813"/>
      <c r="AF156" s="814">
        <v>4573.6799999999903</v>
      </c>
      <c r="AG156" s="812"/>
      <c r="AH156" s="813"/>
      <c r="AI156" s="814">
        <v>5537.05</v>
      </c>
      <c r="AJ156" s="812"/>
      <c r="AK156" s="813"/>
      <c r="AL156" s="814">
        <v>5363.0999999999904</v>
      </c>
      <c r="AM156" s="812"/>
      <c r="AN156" s="813"/>
      <c r="AO156" s="814">
        <v>6572.38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25">
      <c r="A157" s="540" t="str">
        <f t="shared" si="2"/>
        <v>Véhicules usagés</v>
      </c>
      <c r="B157" s="610"/>
      <c r="C157" s="811"/>
      <c r="D157" s="818"/>
      <c r="E157" s="819"/>
      <c r="F157" s="811" t="s">
        <v>108</v>
      </c>
      <c r="G157" s="818">
        <v>0</v>
      </c>
      <c r="H157" s="819"/>
      <c r="I157" s="811" t="s">
        <v>108</v>
      </c>
      <c r="J157" s="818">
        <v>0</v>
      </c>
      <c r="K157" s="819"/>
      <c r="L157" s="811" t="s">
        <v>108</v>
      </c>
      <c r="M157" s="818">
        <v>0</v>
      </c>
      <c r="N157" s="819"/>
      <c r="O157" s="811" t="s">
        <v>108</v>
      </c>
      <c r="P157" s="818">
        <v>0</v>
      </c>
      <c r="Q157" s="819"/>
      <c r="R157" s="811" t="s">
        <v>108</v>
      </c>
      <c r="S157" s="818">
        <v>0</v>
      </c>
      <c r="T157" s="819"/>
      <c r="U157" s="811" t="s">
        <v>108</v>
      </c>
      <c r="V157" s="818">
        <v>0</v>
      </c>
      <c r="W157" s="819"/>
      <c r="X157" s="811" t="s">
        <v>108</v>
      </c>
      <c r="Y157" s="818">
        <v>0</v>
      </c>
      <c r="Z157" s="819"/>
      <c r="AA157" s="811" t="s">
        <v>108</v>
      </c>
      <c r="AB157" s="818">
        <v>0</v>
      </c>
      <c r="AC157" s="819"/>
      <c r="AD157" s="811" t="s">
        <v>108</v>
      </c>
      <c r="AE157" s="818">
        <v>0</v>
      </c>
      <c r="AF157" s="819"/>
      <c r="AG157" s="811" t="s">
        <v>108</v>
      </c>
      <c r="AH157" s="818">
        <v>0</v>
      </c>
      <c r="AI157" s="819"/>
      <c r="AJ157" s="811" t="s">
        <v>108</v>
      </c>
      <c r="AK157" s="818">
        <v>0</v>
      </c>
      <c r="AL157" s="819"/>
      <c r="AM157" s="811" t="s">
        <v>108</v>
      </c>
      <c r="AN157" s="818">
        <v>0</v>
      </c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0.25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1.0345538051334537</v>
      </c>
      <c r="E158" s="823">
        <v>738983.19000000006</v>
      </c>
      <c r="F158" s="812"/>
      <c r="G158" s="813"/>
      <c r="H158" s="823">
        <v>63235.399999999987</v>
      </c>
      <c r="I158" s="812"/>
      <c r="J158" s="813"/>
      <c r="K158" s="823">
        <v>64887.1</v>
      </c>
      <c r="L158" s="812"/>
      <c r="M158" s="813"/>
      <c r="N158" s="823">
        <v>56847.639999999992</v>
      </c>
      <c r="O158" s="812"/>
      <c r="P158" s="813"/>
      <c r="Q158" s="823">
        <v>71845.05</v>
      </c>
      <c r="R158" s="812"/>
      <c r="S158" s="813"/>
      <c r="T158" s="823">
        <v>83864.479999999996</v>
      </c>
      <c r="U158" s="812"/>
      <c r="V158" s="813"/>
      <c r="W158" s="823">
        <v>59506.46</v>
      </c>
      <c r="X158" s="812"/>
      <c r="Y158" s="813"/>
      <c r="Z158" s="823">
        <v>57458.429999999891</v>
      </c>
      <c r="AA158" s="812"/>
      <c r="AB158" s="813"/>
      <c r="AC158" s="823">
        <v>52983.889999999992</v>
      </c>
      <c r="AD158" s="812"/>
      <c r="AE158" s="813"/>
      <c r="AF158" s="823">
        <v>56295.75</v>
      </c>
      <c r="AG158" s="812"/>
      <c r="AH158" s="813"/>
      <c r="AI158" s="823">
        <v>58400.479999999909</v>
      </c>
      <c r="AJ158" s="812"/>
      <c r="AK158" s="813"/>
      <c r="AL158" s="823">
        <v>50690.489999999889</v>
      </c>
      <c r="AM158" s="812"/>
      <c r="AN158" s="813"/>
      <c r="AO158" s="823">
        <v>62968.02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25">
      <c r="A159" s="540" t="str">
        <f t="shared" si="2"/>
        <v>Véhicules usagésRBSC used</v>
      </c>
      <c r="B159" s="550" t="s">
        <v>394</v>
      </c>
      <c r="C159" s="837"/>
      <c r="D159" s="848"/>
      <c r="E159" s="807">
        <v>16050</v>
      </c>
      <c r="F159" s="837"/>
      <c r="G159" s="848"/>
      <c r="H159" s="807">
        <v>1800</v>
      </c>
      <c r="I159" s="837"/>
      <c r="J159" s="848"/>
      <c r="K159" s="807">
        <v>3000</v>
      </c>
      <c r="L159" s="837"/>
      <c r="M159" s="848"/>
      <c r="N159" s="807">
        <v>0</v>
      </c>
      <c r="O159" s="837"/>
      <c r="P159" s="848"/>
      <c r="Q159" s="807">
        <v>2625</v>
      </c>
      <c r="R159" s="837"/>
      <c r="S159" s="848"/>
      <c r="T159" s="807">
        <v>2250</v>
      </c>
      <c r="U159" s="837"/>
      <c r="V159" s="848"/>
      <c r="W159" s="807">
        <v>3375</v>
      </c>
      <c r="X159" s="837"/>
      <c r="Y159" s="848"/>
      <c r="Z159" s="807">
        <v>0</v>
      </c>
      <c r="AA159" s="837"/>
      <c r="AB159" s="848"/>
      <c r="AC159" s="807">
        <v>0</v>
      </c>
      <c r="AD159" s="837"/>
      <c r="AE159" s="848"/>
      <c r="AF159" s="807">
        <v>0</v>
      </c>
      <c r="AG159" s="837"/>
      <c r="AH159" s="848"/>
      <c r="AI159" s="807">
        <v>3000</v>
      </c>
      <c r="AJ159" s="837"/>
      <c r="AK159" s="848"/>
      <c r="AL159" s="807">
        <v>0</v>
      </c>
      <c r="AM159" s="837"/>
      <c r="AN159" s="848"/>
      <c r="AO159" s="807">
        <v>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25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24625</v>
      </c>
      <c r="F160" s="837"/>
      <c r="G160" s="848"/>
      <c r="H160" s="807">
        <v>0</v>
      </c>
      <c r="I160" s="837"/>
      <c r="J160" s="848"/>
      <c r="K160" s="807">
        <v>16075</v>
      </c>
      <c r="L160" s="837"/>
      <c r="M160" s="848"/>
      <c r="N160" s="807">
        <v>10000</v>
      </c>
      <c r="O160" s="837"/>
      <c r="P160" s="848"/>
      <c r="Q160" s="807">
        <v>0</v>
      </c>
      <c r="R160" s="837"/>
      <c r="S160" s="848"/>
      <c r="T160" s="807">
        <v>0</v>
      </c>
      <c r="U160" s="837"/>
      <c r="V160" s="848"/>
      <c r="W160" s="807">
        <v>0</v>
      </c>
      <c r="X160" s="837"/>
      <c r="Y160" s="848"/>
      <c r="Z160" s="807">
        <v>0</v>
      </c>
      <c r="AA160" s="837"/>
      <c r="AB160" s="848"/>
      <c r="AC160" s="807">
        <v>0</v>
      </c>
      <c r="AD160" s="837"/>
      <c r="AE160" s="848"/>
      <c r="AF160" s="807">
        <v>0</v>
      </c>
      <c r="AG160" s="837"/>
      <c r="AH160" s="848"/>
      <c r="AI160" s="807">
        <v>0</v>
      </c>
      <c r="AJ160" s="837"/>
      <c r="AK160" s="848"/>
      <c r="AL160" s="807">
        <v>0</v>
      </c>
      <c r="AM160" s="837"/>
      <c r="AN160" s="848"/>
      <c r="AO160" s="807">
        <v>-1450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25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/>
      <c r="I161" s="785"/>
      <c r="J161" s="793"/>
      <c r="K161" s="807"/>
      <c r="L161" s="785"/>
      <c r="M161" s="793"/>
      <c r="N161" s="807"/>
      <c r="O161" s="785"/>
      <c r="P161" s="793"/>
      <c r="Q161" s="807"/>
      <c r="R161" s="785"/>
      <c r="S161" s="793"/>
      <c r="T161" s="807"/>
      <c r="U161" s="785"/>
      <c r="V161" s="793"/>
      <c r="W161" s="807"/>
      <c r="X161" s="785"/>
      <c r="Y161" s="793"/>
      <c r="Z161" s="807"/>
      <c r="AA161" s="785"/>
      <c r="AB161" s="793"/>
      <c r="AC161" s="807"/>
      <c r="AD161" s="785"/>
      <c r="AE161" s="793"/>
      <c r="AF161" s="807"/>
      <c r="AG161" s="785"/>
      <c r="AH161" s="793"/>
      <c r="AI161" s="807"/>
      <c r="AJ161" s="785"/>
      <c r="AK161" s="793"/>
      <c r="AL161" s="807"/>
      <c r="AM161" s="785"/>
      <c r="AN161" s="793"/>
      <c r="AO161" s="807"/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25">
      <c r="A162" s="540" t="str">
        <f t="shared" si="2"/>
        <v>Véhicules usagés</v>
      </c>
      <c r="B162" s="550"/>
      <c r="C162" s="785"/>
      <c r="D162" s="793"/>
      <c r="E162" s="807"/>
      <c r="F162" s="785"/>
      <c r="G162" s="793"/>
      <c r="H162" s="807"/>
      <c r="I162" s="785"/>
      <c r="J162" s="793"/>
      <c r="K162" s="807"/>
      <c r="L162" s="785"/>
      <c r="M162" s="793"/>
      <c r="N162" s="807"/>
      <c r="O162" s="785"/>
      <c r="P162" s="793"/>
      <c r="Q162" s="807"/>
      <c r="R162" s="785"/>
      <c r="S162" s="793"/>
      <c r="T162" s="807"/>
      <c r="U162" s="785"/>
      <c r="V162" s="793"/>
      <c r="W162" s="807"/>
      <c r="X162" s="785"/>
      <c r="Y162" s="793"/>
      <c r="Z162" s="807"/>
      <c r="AA162" s="785"/>
      <c r="AB162" s="793"/>
      <c r="AC162" s="807"/>
      <c r="AD162" s="785"/>
      <c r="AE162" s="793"/>
      <c r="AF162" s="807"/>
      <c r="AG162" s="785"/>
      <c r="AH162" s="793"/>
      <c r="AI162" s="807"/>
      <c r="AJ162" s="785"/>
      <c r="AK162" s="793"/>
      <c r="AL162" s="807"/>
      <c r="AM162" s="785"/>
      <c r="AN162" s="793"/>
      <c r="AO162" s="807"/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25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/>
      <c r="I163" s="785"/>
      <c r="J163" s="793"/>
      <c r="K163" s="807"/>
      <c r="L163" s="785"/>
      <c r="M163" s="793"/>
      <c r="N163" s="807"/>
      <c r="O163" s="785"/>
      <c r="P163" s="793"/>
      <c r="Q163" s="807"/>
      <c r="R163" s="785"/>
      <c r="S163" s="793"/>
      <c r="T163" s="807"/>
      <c r="U163" s="785"/>
      <c r="V163" s="793"/>
      <c r="W163" s="807"/>
      <c r="X163" s="785"/>
      <c r="Y163" s="793"/>
      <c r="Z163" s="807"/>
      <c r="AA163" s="785"/>
      <c r="AB163" s="793"/>
      <c r="AC163" s="807"/>
      <c r="AD163" s="785"/>
      <c r="AE163" s="793"/>
      <c r="AF163" s="807"/>
      <c r="AG163" s="785"/>
      <c r="AH163" s="793"/>
      <c r="AI163" s="807"/>
      <c r="AJ163" s="785"/>
      <c r="AK163" s="793"/>
      <c r="AL163" s="807"/>
      <c r="AM163" s="785"/>
      <c r="AN163" s="793"/>
      <c r="AO163" s="807"/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25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25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98770</v>
      </c>
      <c r="F165" s="811"/>
      <c r="G165" s="818"/>
      <c r="H165" s="810">
        <v>5950</v>
      </c>
      <c r="I165" s="811"/>
      <c r="J165" s="818"/>
      <c r="K165" s="810">
        <v>5355</v>
      </c>
      <c r="L165" s="811"/>
      <c r="M165" s="818"/>
      <c r="N165" s="810">
        <v>7735</v>
      </c>
      <c r="O165" s="811"/>
      <c r="P165" s="818"/>
      <c r="Q165" s="810">
        <v>13090</v>
      </c>
      <c r="R165" s="811"/>
      <c r="S165" s="818"/>
      <c r="T165" s="810">
        <v>10710</v>
      </c>
      <c r="U165" s="811"/>
      <c r="V165" s="818"/>
      <c r="W165" s="810">
        <v>9520</v>
      </c>
      <c r="X165" s="811"/>
      <c r="Y165" s="818"/>
      <c r="Z165" s="810">
        <v>10115</v>
      </c>
      <c r="AA165" s="811"/>
      <c r="AB165" s="818"/>
      <c r="AC165" s="810">
        <v>10710</v>
      </c>
      <c r="AD165" s="811"/>
      <c r="AE165" s="818"/>
      <c r="AF165" s="810">
        <v>7735</v>
      </c>
      <c r="AG165" s="811"/>
      <c r="AH165" s="818"/>
      <c r="AI165" s="810">
        <v>7140</v>
      </c>
      <c r="AJ165" s="811"/>
      <c r="AK165" s="818"/>
      <c r="AL165" s="810">
        <v>4165</v>
      </c>
      <c r="AM165" s="811"/>
      <c r="AN165" s="818"/>
      <c r="AO165" s="810">
        <v>6545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0.25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139445</v>
      </c>
      <c r="F166" s="849"/>
      <c r="G166" s="850"/>
      <c r="H166" s="823">
        <v>7750</v>
      </c>
      <c r="I166" s="849"/>
      <c r="J166" s="850"/>
      <c r="K166" s="823">
        <v>24430</v>
      </c>
      <c r="L166" s="849"/>
      <c r="M166" s="850"/>
      <c r="N166" s="823">
        <v>17735</v>
      </c>
      <c r="O166" s="849"/>
      <c r="P166" s="850"/>
      <c r="Q166" s="823">
        <v>15715</v>
      </c>
      <c r="R166" s="849"/>
      <c r="S166" s="850"/>
      <c r="T166" s="823">
        <v>12960</v>
      </c>
      <c r="U166" s="849"/>
      <c r="V166" s="850"/>
      <c r="W166" s="823">
        <v>12895</v>
      </c>
      <c r="X166" s="849"/>
      <c r="Y166" s="850"/>
      <c r="Z166" s="823">
        <v>10115</v>
      </c>
      <c r="AA166" s="849"/>
      <c r="AB166" s="850"/>
      <c r="AC166" s="823">
        <v>10710</v>
      </c>
      <c r="AD166" s="849"/>
      <c r="AE166" s="850"/>
      <c r="AF166" s="823">
        <v>7735</v>
      </c>
      <c r="AG166" s="849"/>
      <c r="AH166" s="850"/>
      <c r="AI166" s="823">
        <v>10140</v>
      </c>
      <c r="AJ166" s="849"/>
      <c r="AK166" s="850"/>
      <c r="AL166" s="823">
        <v>4165</v>
      </c>
      <c r="AM166" s="849"/>
      <c r="AN166" s="850"/>
      <c r="AO166" s="823">
        <v>5095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25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114763.16999999911</v>
      </c>
      <c r="F168" s="851"/>
      <c r="G168" s="852"/>
      <c r="H168" s="832">
        <v>-2331.8400000000256</v>
      </c>
      <c r="I168" s="851"/>
      <c r="J168" s="852"/>
      <c r="K168" s="832">
        <v>17390.219999999907</v>
      </c>
      <c r="L168" s="851"/>
      <c r="M168" s="852"/>
      <c r="N168" s="832">
        <v>6941.5899999999747</v>
      </c>
      <c r="O168" s="851"/>
      <c r="P168" s="852"/>
      <c r="Q168" s="832">
        <v>25590.979999999763</v>
      </c>
      <c r="R168" s="851"/>
      <c r="S168" s="852"/>
      <c r="T168" s="832">
        <v>11114.620000000054</v>
      </c>
      <c r="U168" s="851"/>
      <c r="V168" s="852"/>
      <c r="W168" s="832">
        <v>8376.91999999986</v>
      </c>
      <c r="X168" s="851"/>
      <c r="Y168" s="852"/>
      <c r="Z168" s="832">
        <v>18537.719999999943</v>
      </c>
      <c r="AA168" s="851"/>
      <c r="AB168" s="852"/>
      <c r="AC168" s="832">
        <v>3475.5199999999968</v>
      </c>
      <c r="AD168" s="851"/>
      <c r="AE168" s="852"/>
      <c r="AF168" s="832">
        <v>23841.199999999924</v>
      </c>
      <c r="AG168" s="851"/>
      <c r="AH168" s="852"/>
      <c r="AI168" s="832">
        <v>21299.399999999994</v>
      </c>
      <c r="AJ168" s="851"/>
      <c r="AK168" s="852"/>
      <c r="AL168" s="832">
        <v>-2204.6599999999089</v>
      </c>
      <c r="AM168" s="851"/>
      <c r="AN168" s="852"/>
      <c r="AO168" s="832">
        <v>-17268.500000000095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25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25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25">
      <c r="A171" s="540"/>
      <c r="B171" s="618" t="s">
        <v>2812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" thickTop="1">
      <c r="A173" s="540"/>
      <c r="B173" s="658" t="s">
        <v>293</v>
      </c>
      <c r="C173" s="768">
        <v>2024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25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25">
      <c r="A175" s="540" t="str">
        <f t="shared" ref="A175:A236" si="4">+$C$171&amp;B175</f>
        <v>ServiceM/O Client</v>
      </c>
      <c r="B175" s="550" t="s">
        <v>151</v>
      </c>
      <c r="C175" s="854">
        <v>2294</v>
      </c>
      <c r="D175" s="855">
        <v>717602.00999999989</v>
      </c>
      <c r="E175" s="807">
        <v>567784.0499999997</v>
      </c>
      <c r="F175" s="854">
        <v>102</v>
      </c>
      <c r="G175" s="855">
        <v>27706.55</v>
      </c>
      <c r="H175" s="807">
        <v>21662.4899999999</v>
      </c>
      <c r="I175" s="854">
        <v>92</v>
      </c>
      <c r="J175" s="855">
        <v>31160.85</v>
      </c>
      <c r="K175" s="807">
        <v>24369.95</v>
      </c>
      <c r="L175" s="854">
        <v>153</v>
      </c>
      <c r="M175" s="855">
        <v>42401.85</v>
      </c>
      <c r="N175" s="807">
        <v>32425.32</v>
      </c>
      <c r="O175" s="854">
        <v>296</v>
      </c>
      <c r="P175" s="855">
        <v>84593.209999999905</v>
      </c>
      <c r="Q175" s="807">
        <v>66593.14</v>
      </c>
      <c r="R175" s="854">
        <v>279</v>
      </c>
      <c r="S175" s="855">
        <v>100412.12</v>
      </c>
      <c r="T175" s="807">
        <v>80544.949999999895</v>
      </c>
      <c r="U175" s="854">
        <v>157</v>
      </c>
      <c r="V175" s="855">
        <v>53893.73</v>
      </c>
      <c r="W175" s="807">
        <v>42144.95</v>
      </c>
      <c r="X175" s="854">
        <v>188</v>
      </c>
      <c r="Y175" s="855">
        <v>71899.94</v>
      </c>
      <c r="Z175" s="807">
        <v>56652.22</v>
      </c>
      <c r="AA175" s="854">
        <v>150</v>
      </c>
      <c r="AB175" s="855">
        <v>48036.56</v>
      </c>
      <c r="AC175" s="807">
        <v>38402.36</v>
      </c>
      <c r="AD175" s="854">
        <v>116</v>
      </c>
      <c r="AE175" s="855">
        <v>36184.839999999997</v>
      </c>
      <c r="AF175" s="807">
        <v>29560.799999999999</v>
      </c>
      <c r="AG175" s="854">
        <v>330</v>
      </c>
      <c r="AH175" s="855">
        <v>89572.72</v>
      </c>
      <c r="AI175" s="807">
        <v>71477.289999999994</v>
      </c>
      <c r="AJ175" s="854">
        <v>334</v>
      </c>
      <c r="AK175" s="855">
        <v>102245.31</v>
      </c>
      <c r="AL175" s="807">
        <v>80750.669999999896</v>
      </c>
      <c r="AM175" s="854">
        <v>97</v>
      </c>
      <c r="AN175" s="855">
        <v>29494.33</v>
      </c>
      <c r="AO175" s="807">
        <v>23199.91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25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0.79122416337713408</v>
      </c>
      <c r="F176" s="856"/>
      <c r="G176" s="793"/>
      <c r="H176" s="857">
        <v>0.78185447123513752</v>
      </c>
      <c r="I176" s="856"/>
      <c r="J176" s="793"/>
      <c r="K176" s="857">
        <v>0.78206948783489549</v>
      </c>
      <c r="L176" s="856"/>
      <c r="M176" s="793"/>
      <c r="N176" s="857">
        <v>0.76471474711598675</v>
      </c>
      <c r="O176" s="856"/>
      <c r="P176" s="793"/>
      <c r="Q176" s="857">
        <v>0.78721613708712646</v>
      </c>
      <c r="R176" s="856"/>
      <c r="S176" s="793"/>
      <c r="T176" s="857">
        <v>0.80214370536146329</v>
      </c>
      <c r="U176" s="856"/>
      <c r="V176" s="793"/>
      <c r="W176" s="857">
        <v>0.78200098601451407</v>
      </c>
      <c r="X176" s="856"/>
      <c r="Y176" s="793"/>
      <c r="Z176" s="857">
        <v>0.78793139465763118</v>
      </c>
      <c r="AA176" s="856"/>
      <c r="AB176" s="793"/>
      <c r="AC176" s="857">
        <v>0.79944025966888554</v>
      </c>
      <c r="AD176" s="856"/>
      <c r="AE176" s="793"/>
      <c r="AF176" s="857">
        <v>0.81693880641727312</v>
      </c>
      <c r="AG176" s="856"/>
      <c r="AH176" s="793"/>
      <c r="AI176" s="857">
        <v>0.79798056819085084</v>
      </c>
      <c r="AJ176" s="856"/>
      <c r="AK176" s="793"/>
      <c r="AL176" s="857">
        <v>0.78977382923480699</v>
      </c>
      <c r="AM176" s="856"/>
      <c r="AN176" s="793"/>
      <c r="AO176" s="857">
        <v>0.78658881215474286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25">
      <c r="A177" s="540" t="str">
        <f t="shared" si="4"/>
        <v>Service</v>
      </c>
      <c r="B177" s="610"/>
      <c r="C177" s="858"/>
      <c r="D177" s="859">
        <v>312.8169180470793</v>
      </c>
      <c r="E177" s="860"/>
      <c r="F177" s="858"/>
      <c r="G177" s="859">
        <v>271.63284313725489</v>
      </c>
      <c r="H177" s="860"/>
      <c r="I177" s="858"/>
      <c r="J177" s="859">
        <v>338.70489130434783</v>
      </c>
      <c r="K177" s="860"/>
      <c r="L177" s="858"/>
      <c r="M177" s="859">
        <v>277.13627450980391</v>
      </c>
      <c r="N177" s="860"/>
      <c r="O177" s="858"/>
      <c r="P177" s="859">
        <v>285.78787162162132</v>
      </c>
      <c r="Q177" s="860"/>
      <c r="R177" s="858"/>
      <c r="S177" s="859">
        <v>359.90007168458777</v>
      </c>
      <c r="T177" s="860"/>
      <c r="U177" s="858"/>
      <c r="V177" s="859">
        <v>343.27216560509555</v>
      </c>
      <c r="W177" s="860"/>
      <c r="X177" s="858"/>
      <c r="Y177" s="859">
        <v>382.44648936170216</v>
      </c>
      <c r="Z177" s="860"/>
      <c r="AA177" s="858"/>
      <c r="AB177" s="859">
        <v>320.2437333333333</v>
      </c>
      <c r="AC177" s="860"/>
      <c r="AD177" s="858"/>
      <c r="AE177" s="859">
        <v>311.93827586206896</v>
      </c>
      <c r="AF177" s="860"/>
      <c r="AG177" s="858"/>
      <c r="AH177" s="859">
        <v>271.43248484848488</v>
      </c>
      <c r="AI177" s="860"/>
      <c r="AJ177" s="858"/>
      <c r="AK177" s="859">
        <v>306.12368263473053</v>
      </c>
      <c r="AL177" s="860"/>
      <c r="AM177" s="858"/>
      <c r="AN177" s="859">
        <v>304.06525773195881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25">
      <c r="A178" s="540" t="str">
        <f t="shared" si="4"/>
        <v>ServiceM/O Garantie</v>
      </c>
      <c r="B178" s="603" t="s">
        <v>153</v>
      </c>
      <c r="C178" s="861">
        <v>1953</v>
      </c>
      <c r="D178" s="862">
        <v>318109.99999999977</v>
      </c>
      <c r="E178" s="817">
        <v>214174.87999999971</v>
      </c>
      <c r="F178" s="861">
        <v>152</v>
      </c>
      <c r="G178" s="862">
        <v>25018.8299999999</v>
      </c>
      <c r="H178" s="817">
        <v>15898.2599999999</v>
      </c>
      <c r="I178" s="861">
        <v>133</v>
      </c>
      <c r="J178" s="862">
        <v>18601.41</v>
      </c>
      <c r="K178" s="817">
        <v>12239.21</v>
      </c>
      <c r="L178" s="861">
        <v>108</v>
      </c>
      <c r="M178" s="862">
        <v>14398.23</v>
      </c>
      <c r="N178" s="817">
        <v>8705.2499999999909</v>
      </c>
      <c r="O178" s="861">
        <v>151</v>
      </c>
      <c r="P178" s="862">
        <v>19987.38</v>
      </c>
      <c r="Q178" s="817">
        <v>12979.78</v>
      </c>
      <c r="R178" s="861">
        <v>206</v>
      </c>
      <c r="S178" s="862">
        <v>24712.68</v>
      </c>
      <c r="T178" s="817">
        <v>16544.599999999999</v>
      </c>
      <c r="U178" s="861">
        <v>170</v>
      </c>
      <c r="V178" s="862">
        <v>28704.47</v>
      </c>
      <c r="W178" s="817">
        <v>19244.02</v>
      </c>
      <c r="X178" s="861">
        <v>206</v>
      </c>
      <c r="Y178" s="862">
        <v>33520.949999999997</v>
      </c>
      <c r="Z178" s="817">
        <v>22940.14</v>
      </c>
      <c r="AA178" s="861">
        <v>160</v>
      </c>
      <c r="AB178" s="862">
        <v>24088.77</v>
      </c>
      <c r="AC178" s="817">
        <v>17403.34</v>
      </c>
      <c r="AD178" s="861">
        <v>162</v>
      </c>
      <c r="AE178" s="862">
        <v>32483.789999999899</v>
      </c>
      <c r="AF178" s="817">
        <v>22886.019999999899</v>
      </c>
      <c r="AG178" s="861">
        <v>194</v>
      </c>
      <c r="AH178" s="862">
        <v>32031.9</v>
      </c>
      <c r="AI178" s="817">
        <v>22008.22</v>
      </c>
      <c r="AJ178" s="861">
        <v>168</v>
      </c>
      <c r="AK178" s="862">
        <v>29558.97</v>
      </c>
      <c r="AL178" s="817">
        <v>19564.3999999999</v>
      </c>
      <c r="AM178" s="861">
        <v>143</v>
      </c>
      <c r="AN178" s="862">
        <v>35002.620000000003</v>
      </c>
      <c r="AO178" s="817">
        <v>23761.64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25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0.67327301876709278</v>
      </c>
      <c r="F179" s="785"/>
      <c r="G179" s="793"/>
      <c r="H179" s="857">
        <v>0.63545177772101913</v>
      </c>
      <c r="I179" s="785"/>
      <c r="J179" s="793"/>
      <c r="K179" s="857">
        <v>0.65797216447570372</v>
      </c>
      <c r="L179" s="785"/>
      <c r="M179" s="793"/>
      <c r="N179" s="857">
        <v>0.6046055661008326</v>
      </c>
      <c r="O179" s="785"/>
      <c r="P179" s="793"/>
      <c r="Q179" s="857">
        <v>0.64939877062426388</v>
      </c>
      <c r="R179" s="785"/>
      <c r="S179" s="793"/>
      <c r="T179" s="857">
        <v>0.66947817881346738</v>
      </c>
      <c r="U179" s="785"/>
      <c r="V179" s="793"/>
      <c r="W179" s="857">
        <v>0.67041892778372147</v>
      </c>
      <c r="X179" s="785"/>
      <c r="Y179" s="793"/>
      <c r="Z179" s="857">
        <v>0.68435232295027437</v>
      </c>
      <c r="AA179" s="785"/>
      <c r="AB179" s="793"/>
      <c r="AC179" s="857">
        <v>0.72246694206470485</v>
      </c>
      <c r="AD179" s="785"/>
      <c r="AE179" s="793"/>
      <c r="AF179" s="857">
        <v>0.70453663196320282</v>
      </c>
      <c r="AG179" s="785"/>
      <c r="AH179" s="793"/>
      <c r="AI179" s="857">
        <v>0.68707195014969458</v>
      </c>
      <c r="AJ179" s="785"/>
      <c r="AK179" s="793"/>
      <c r="AL179" s="857">
        <v>0.66187691925665537</v>
      </c>
      <c r="AM179" s="785"/>
      <c r="AN179" s="793"/>
      <c r="AO179" s="857">
        <v>0.67885318299030184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25">
      <c r="A180" s="540" t="str">
        <f t="shared" si="4"/>
        <v>Service</v>
      </c>
      <c r="B180" s="610"/>
      <c r="C180" s="811"/>
      <c r="D180" s="859">
        <v>162.88274449564761</v>
      </c>
      <c r="E180" s="860"/>
      <c r="F180" s="811"/>
      <c r="G180" s="859">
        <v>164.59756578947304</v>
      </c>
      <c r="H180" s="860"/>
      <c r="I180" s="811"/>
      <c r="J180" s="859">
        <v>139.86022556390978</v>
      </c>
      <c r="K180" s="860"/>
      <c r="L180" s="811"/>
      <c r="M180" s="859">
        <v>133.31694444444443</v>
      </c>
      <c r="N180" s="860"/>
      <c r="O180" s="811"/>
      <c r="P180" s="859">
        <v>132.36675496688741</v>
      </c>
      <c r="Q180" s="860"/>
      <c r="R180" s="811"/>
      <c r="S180" s="859">
        <v>119.96446601941747</v>
      </c>
      <c r="T180" s="860"/>
      <c r="U180" s="811"/>
      <c r="V180" s="859">
        <v>168.84982352941176</v>
      </c>
      <c r="W180" s="860"/>
      <c r="X180" s="811"/>
      <c r="Y180" s="859">
        <v>162.72305825242717</v>
      </c>
      <c r="Z180" s="860"/>
      <c r="AA180" s="811"/>
      <c r="AB180" s="859">
        <v>150.5548125</v>
      </c>
      <c r="AC180" s="860"/>
      <c r="AD180" s="811"/>
      <c r="AE180" s="859">
        <v>200.51722222222159</v>
      </c>
      <c r="AF180" s="860"/>
      <c r="AG180" s="811"/>
      <c r="AH180" s="859">
        <v>165.11288659793814</v>
      </c>
      <c r="AI180" s="860"/>
      <c r="AJ180" s="811"/>
      <c r="AK180" s="859">
        <v>175.94625000000002</v>
      </c>
      <c r="AL180" s="860"/>
      <c r="AM180" s="811"/>
      <c r="AN180" s="859">
        <v>244.77356643356646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25">
      <c r="A181" s="540" t="str">
        <f t="shared" si="4"/>
        <v>ServiceM/O Interne</v>
      </c>
      <c r="B181" s="550" t="s">
        <v>154</v>
      </c>
      <c r="C181" s="854">
        <v>2001</v>
      </c>
      <c r="D181" s="855">
        <v>488203.61999999976</v>
      </c>
      <c r="E181" s="807">
        <v>302529.6799999997</v>
      </c>
      <c r="F181" s="854">
        <v>104</v>
      </c>
      <c r="G181" s="855">
        <v>24373.48</v>
      </c>
      <c r="H181" s="807">
        <v>15236.3</v>
      </c>
      <c r="I181" s="854">
        <v>150</v>
      </c>
      <c r="J181" s="855">
        <v>32809.699999999997</v>
      </c>
      <c r="K181" s="807">
        <v>19608.669999999998</v>
      </c>
      <c r="L181" s="854">
        <v>127</v>
      </c>
      <c r="M181" s="855">
        <v>25948.02</v>
      </c>
      <c r="N181" s="807">
        <v>14420.74</v>
      </c>
      <c r="O181" s="854">
        <v>188</v>
      </c>
      <c r="P181" s="855">
        <v>41586.22</v>
      </c>
      <c r="Q181" s="807">
        <v>23730.2</v>
      </c>
      <c r="R181" s="854">
        <v>250</v>
      </c>
      <c r="S181" s="855">
        <v>63177.869999999901</v>
      </c>
      <c r="T181" s="807">
        <v>39665.360000000001</v>
      </c>
      <c r="U181" s="854">
        <v>145</v>
      </c>
      <c r="V181" s="855">
        <v>32149.02</v>
      </c>
      <c r="W181" s="807">
        <v>19018.77</v>
      </c>
      <c r="X181" s="854">
        <v>172</v>
      </c>
      <c r="Y181" s="855">
        <v>41479.699999999997</v>
      </c>
      <c r="Z181" s="807">
        <v>27521.299999999901</v>
      </c>
      <c r="AA181" s="854">
        <v>175</v>
      </c>
      <c r="AB181" s="855">
        <v>41607.620000000003</v>
      </c>
      <c r="AC181" s="807">
        <v>26145.65</v>
      </c>
      <c r="AD181" s="854">
        <v>170</v>
      </c>
      <c r="AE181" s="855">
        <v>44891.799999999901</v>
      </c>
      <c r="AF181" s="807">
        <v>25877.229999999901</v>
      </c>
      <c r="AG181" s="854">
        <v>172</v>
      </c>
      <c r="AH181" s="855">
        <v>46200.43</v>
      </c>
      <c r="AI181" s="807">
        <v>31253.35</v>
      </c>
      <c r="AJ181" s="854">
        <v>193</v>
      </c>
      <c r="AK181" s="855">
        <v>50906.729999999901</v>
      </c>
      <c r="AL181" s="807">
        <v>33664.799999999901</v>
      </c>
      <c r="AM181" s="854">
        <v>155</v>
      </c>
      <c r="AN181" s="855">
        <v>43073.03</v>
      </c>
      <c r="AO181" s="807">
        <v>26387.31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25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0.61967930512272695</v>
      </c>
      <c r="F182" s="856"/>
      <c r="G182" s="863"/>
      <c r="H182" s="857">
        <v>0.62511795607356846</v>
      </c>
      <c r="I182" s="856"/>
      <c r="J182" s="863"/>
      <c r="K182" s="857">
        <v>0.59764856124865517</v>
      </c>
      <c r="L182" s="856"/>
      <c r="M182" s="863"/>
      <c r="N182" s="857">
        <v>0.55575492850706909</v>
      </c>
      <c r="O182" s="856"/>
      <c r="P182" s="863"/>
      <c r="Q182" s="857">
        <v>0.57062652003476155</v>
      </c>
      <c r="R182" s="856"/>
      <c r="S182" s="863"/>
      <c r="T182" s="857">
        <v>0.62783629774159944</v>
      </c>
      <c r="U182" s="856"/>
      <c r="V182" s="863"/>
      <c r="W182" s="857">
        <v>0.59158164074674746</v>
      </c>
      <c r="X182" s="856"/>
      <c r="Y182" s="863"/>
      <c r="Z182" s="857">
        <v>0.66348840517168406</v>
      </c>
      <c r="AA182" s="856"/>
      <c r="AB182" s="863"/>
      <c r="AC182" s="857">
        <v>0.62838609850791749</v>
      </c>
      <c r="AD182" s="856"/>
      <c r="AE182" s="863"/>
      <c r="AF182" s="857">
        <v>0.57643556284221076</v>
      </c>
      <c r="AG182" s="856"/>
      <c r="AH182" s="863"/>
      <c r="AI182" s="857">
        <v>0.67647314105085166</v>
      </c>
      <c r="AJ182" s="856"/>
      <c r="AK182" s="863"/>
      <c r="AL182" s="857">
        <v>0.66130352509383272</v>
      </c>
      <c r="AM182" s="856"/>
      <c r="AN182" s="863"/>
      <c r="AO182" s="857">
        <v>0.6126179189158506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25">
      <c r="A183" s="540" t="str">
        <f t="shared" si="4"/>
        <v>Service</v>
      </c>
      <c r="B183" s="550"/>
      <c r="C183" s="856"/>
      <c r="D183" s="864">
        <v>243.9798200899549</v>
      </c>
      <c r="E183" s="857"/>
      <c r="F183" s="856"/>
      <c r="G183" s="864">
        <v>234.36038461538462</v>
      </c>
      <c r="H183" s="857"/>
      <c r="I183" s="856"/>
      <c r="J183" s="864">
        <v>218.73133333333331</v>
      </c>
      <c r="K183" s="857"/>
      <c r="L183" s="856"/>
      <c r="M183" s="864">
        <v>204.31511811023623</v>
      </c>
      <c r="N183" s="857"/>
      <c r="O183" s="856"/>
      <c r="P183" s="864">
        <v>221.20329787234044</v>
      </c>
      <c r="Q183" s="857"/>
      <c r="R183" s="856"/>
      <c r="S183" s="864">
        <v>252.7114799999996</v>
      </c>
      <c r="T183" s="857"/>
      <c r="U183" s="856"/>
      <c r="V183" s="864">
        <v>221.71737931034482</v>
      </c>
      <c r="W183" s="857"/>
      <c r="X183" s="856"/>
      <c r="Y183" s="864">
        <v>241.16104651162789</v>
      </c>
      <c r="Z183" s="857"/>
      <c r="AA183" s="856"/>
      <c r="AB183" s="864">
        <v>237.75782857142858</v>
      </c>
      <c r="AC183" s="857"/>
      <c r="AD183" s="856"/>
      <c r="AE183" s="864">
        <v>264.06941176470531</v>
      </c>
      <c r="AF183" s="857"/>
      <c r="AG183" s="856"/>
      <c r="AH183" s="864">
        <v>268.60715116279067</v>
      </c>
      <c r="AI183" s="857"/>
      <c r="AJ183" s="856"/>
      <c r="AK183" s="864">
        <v>263.76544041450728</v>
      </c>
      <c r="AL183" s="857"/>
      <c r="AM183" s="856"/>
      <c r="AN183" s="864">
        <v>277.89051612903228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25">
      <c r="A184" s="540" t="str">
        <f t="shared" si="4"/>
        <v>ServiceM/O Esthétique</v>
      </c>
      <c r="B184" s="603" t="s">
        <v>155</v>
      </c>
      <c r="C184" s="861">
        <v>660</v>
      </c>
      <c r="D184" s="862">
        <v>125982.02999999997</v>
      </c>
      <c r="E184" s="817">
        <v>46632.649999999987</v>
      </c>
      <c r="F184" s="861">
        <v>30</v>
      </c>
      <c r="G184" s="862">
        <v>4859.3999999999996</v>
      </c>
      <c r="H184" s="817">
        <v>1623.9</v>
      </c>
      <c r="I184" s="861">
        <v>29</v>
      </c>
      <c r="J184" s="862">
        <v>4185.1499999999996</v>
      </c>
      <c r="K184" s="817">
        <v>1553.55</v>
      </c>
      <c r="L184" s="861">
        <v>49</v>
      </c>
      <c r="M184" s="862">
        <v>10736.24</v>
      </c>
      <c r="N184" s="817">
        <v>4614.24</v>
      </c>
      <c r="O184" s="861">
        <v>129</v>
      </c>
      <c r="P184" s="862">
        <v>28303.97</v>
      </c>
      <c r="Q184" s="817">
        <v>11603.56</v>
      </c>
      <c r="R184" s="861">
        <v>86</v>
      </c>
      <c r="S184" s="862">
        <v>16422.669999999998</v>
      </c>
      <c r="T184" s="817">
        <v>6604.41</v>
      </c>
      <c r="U184" s="861">
        <v>47</v>
      </c>
      <c r="V184" s="862">
        <v>9411.9299999999894</v>
      </c>
      <c r="W184" s="817">
        <v>3425.9399999999901</v>
      </c>
      <c r="X184" s="861">
        <v>42</v>
      </c>
      <c r="Y184" s="862">
        <v>7268.21</v>
      </c>
      <c r="Z184" s="817">
        <v>2318.71</v>
      </c>
      <c r="AA184" s="861">
        <v>37</v>
      </c>
      <c r="AB184" s="862">
        <v>6482.7</v>
      </c>
      <c r="AC184" s="817">
        <v>2179.9499999999998</v>
      </c>
      <c r="AD184" s="861">
        <v>35</v>
      </c>
      <c r="AE184" s="862">
        <v>6441.76</v>
      </c>
      <c r="AF184" s="817">
        <v>1643.65</v>
      </c>
      <c r="AG184" s="861">
        <v>99</v>
      </c>
      <c r="AH184" s="862">
        <v>17782.45</v>
      </c>
      <c r="AI184" s="817">
        <v>6067.88</v>
      </c>
      <c r="AJ184" s="861">
        <v>59</v>
      </c>
      <c r="AK184" s="862">
        <v>10564.15</v>
      </c>
      <c r="AL184" s="817">
        <v>3755.12</v>
      </c>
      <c r="AM184" s="861">
        <v>18</v>
      </c>
      <c r="AN184" s="862">
        <v>3523.4</v>
      </c>
      <c r="AO184" s="817">
        <v>1241.74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0.25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0.37015318772050265</v>
      </c>
      <c r="F185" s="865"/>
      <c r="G185" s="866">
        <v>0</v>
      </c>
      <c r="H185" s="857">
        <v>0.33417705889616006</v>
      </c>
      <c r="I185" s="865"/>
      <c r="J185" s="866">
        <v>0</v>
      </c>
      <c r="K185" s="857">
        <v>0.37120533314218129</v>
      </c>
      <c r="L185" s="865"/>
      <c r="M185" s="866">
        <v>0</v>
      </c>
      <c r="N185" s="857">
        <v>0.42978174854511447</v>
      </c>
      <c r="O185" s="865"/>
      <c r="P185" s="866">
        <v>0</v>
      </c>
      <c r="Q185" s="857">
        <v>0.40996227737663654</v>
      </c>
      <c r="R185" s="865"/>
      <c r="S185" s="866">
        <v>0</v>
      </c>
      <c r="T185" s="857">
        <v>0.40215202521879817</v>
      </c>
      <c r="U185" s="865"/>
      <c r="V185" s="866">
        <v>0</v>
      </c>
      <c r="W185" s="857">
        <v>0.36399973225470161</v>
      </c>
      <c r="X185" s="865"/>
      <c r="Y185" s="866">
        <v>0</v>
      </c>
      <c r="Z185" s="857">
        <v>0.31902077677997748</v>
      </c>
      <c r="AA185" s="865"/>
      <c r="AB185" s="866">
        <v>0</v>
      </c>
      <c r="AC185" s="857">
        <v>0.33627192373548059</v>
      </c>
      <c r="AD185" s="865"/>
      <c r="AE185" s="866">
        <v>0</v>
      </c>
      <c r="AF185" s="857">
        <v>0.25515542336255931</v>
      </c>
      <c r="AG185" s="865"/>
      <c r="AH185" s="866">
        <v>0</v>
      </c>
      <c r="AI185" s="857">
        <v>0.34122857086621922</v>
      </c>
      <c r="AJ185" s="865"/>
      <c r="AK185" s="866">
        <v>0</v>
      </c>
      <c r="AL185" s="857">
        <v>0.35545879223600574</v>
      </c>
      <c r="AM185" s="865"/>
      <c r="AN185" s="866">
        <v>0</v>
      </c>
      <c r="AO185" s="857">
        <v>0.35242663336549923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0.25">
      <c r="A186" s="540" t="str">
        <f t="shared" si="4"/>
        <v>Service</v>
      </c>
      <c r="B186" s="610"/>
      <c r="C186" s="867"/>
      <c r="D186" s="868">
        <v>190.88186363636359</v>
      </c>
      <c r="E186" s="860"/>
      <c r="F186" s="867"/>
      <c r="G186" s="868">
        <v>161.97999999999999</v>
      </c>
      <c r="H186" s="860"/>
      <c r="I186" s="867"/>
      <c r="J186" s="868">
        <v>144.3155172413793</v>
      </c>
      <c r="K186" s="860"/>
      <c r="L186" s="867"/>
      <c r="M186" s="868">
        <v>219.1069387755102</v>
      </c>
      <c r="N186" s="860"/>
      <c r="O186" s="867"/>
      <c r="P186" s="868">
        <v>219.41062015503877</v>
      </c>
      <c r="Q186" s="860"/>
      <c r="R186" s="867"/>
      <c r="S186" s="868">
        <v>190.96127906976741</v>
      </c>
      <c r="T186" s="860"/>
      <c r="U186" s="867"/>
      <c r="V186" s="868">
        <v>200.25382978723383</v>
      </c>
      <c r="W186" s="860"/>
      <c r="X186" s="867"/>
      <c r="Y186" s="868">
        <v>173.05261904761906</v>
      </c>
      <c r="Z186" s="860"/>
      <c r="AA186" s="867"/>
      <c r="AB186" s="868">
        <v>175.20810810810809</v>
      </c>
      <c r="AC186" s="860"/>
      <c r="AD186" s="867"/>
      <c r="AE186" s="868">
        <v>184.05028571428571</v>
      </c>
      <c r="AF186" s="860"/>
      <c r="AG186" s="867"/>
      <c r="AH186" s="868">
        <v>179.62070707070708</v>
      </c>
      <c r="AI186" s="860"/>
      <c r="AJ186" s="867"/>
      <c r="AK186" s="868">
        <v>179.05338983050848</v>
      </c>
      <c r="AL186" s="860"/>
      <c r="AM186" s="867"/>
      <c r="AN186" s="868">
        <v>195.74444444444444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-30929.62</v>
      </c>
      <c r="F187" s="854"/>
      <c r="G187" s="855"/>
      <c r="H187" s="807">
        <v>-1556.78</v>
      </c>
      <c r="I187" s="854"/>
      <c r="J187" s="855"/>
      <c r="K187" s="807">
        <v>-1130.81</v>
      </c>
      <c r="L187" s="854"/>
      <c r="M187" s="855"/>
      <c r="N187" s="807">
        <v>-1928.67</v>
      </c>
      <c r="O187" s="854"/>
      <c r="P187" s="855"/>
      <c r="Q187" s="807">
        <v>-4926.28</v>
      </c>
      <c r="R187" s="854"/>
      <c r="S187" s="855"/>
      <c r="T187" s="807">
        <v>-2669.26</v>
      </c>
      <c r="U187" s="854"/>
      <c r="V187" s="855"/>
      <c r="W187" s="807">
        <v>-1991.54</v>
      </c>
      <c r="X187" s="854"/>
      <c r="Y187" s="855"/>
      <c r="Z187" s="807">
        <v>-3364.45</v>
      </c>
      <c r="AA187" s="854"/>
      <c r="AB187" s="855"/>
      <c r="AC187" s="807">
        <v>-2537.21</v>
      </c>
      <c r="AD187" s="854"/>
      <c r="AE187" s="855"/>
      <c r="AF187" s="807">
        <v>-4460.45</v>
      </c>
      <c r="AG187" s="854"/>
      <c r="AH187" s="855"/>
      <c r="AI187" s="807">
        <v>-2411.91</v>
      </c>
      <c r="AJ187" s="854"/>
      <c r="AK187" s="855"/>
      <c r="AL187" s="807">
        <v>-1386.92</v>
      </c>
      <c r="AM187" s="854"/>
      <c r="AN187" s="855"/>
      <c r="AO187" s="807">
        <v>-2565.34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" thickTop="1">
      <c r="A188" s="540" t="str">
        <f t="shared" si="4"/>
        <v>ServiceSous-total M/O</v>
      </c>
      <c r="B188" s="622" t="s">
        <v>157</v>
      </c>
      <c r="C188" s="869">
        <v>6908</v>
      </c>
      <c r="D188" s="870">
        <v>1649897.6599999995</v>
      </c>
      <c r="E188" s="871">
        <v>1100191.639999999</v>
      </c>
      <c r="F188" s="869">
        <v>388</v>
      </c>
      <c r="G188" s="870">
        <v>81958.259999999893</v>
      </c>
      <c r="H188" s="871">
        <v>52864.169999999802</v>
      </c>
      <c r="I188" s="869">
        <v>404</v>
      </c>
      <c r="J188" s="870">
        <v>86757.109999999986</v>
      </c>
      <c r="K188" s="871">
        <v>56640.570000000007</v>
      </c>
      <c r="L188" s="869">
        <v>437</v>
      </c>
      <c r="M188" s="870">
        <v>93484.340000000011</v>
      </c>
      <c r="N188" s="871">
        <v>58236.87999999999</v>
      </c>
      <c r="O188" s="869">
        <v>764</v>
      </c>
      <c r="P188" s="870">
        <v>174470.77999999991</v>
      </c>
      <c r="Q188" s="871">
        <v>109980.4</v>
      </c>
      <c r="R188" s="869">
        <v>821</v>
      </c>
      <c r="S188" s="870">
        <v>204725.33999999991</v>
      </c>
      <c r="T188" s="871">
        <v>140690.05999999991</v>
      </c>
      <c r="U188" s="869">
        <v>519</v>
      </c>
      <c r="V188" s="870">
        <v>124159.15000000001</v>
      </c>
      <c r="W188" s="871">
        <v>81842.14</v>
      </c>
      <c r="X188" s="869">
        <v>608</v>
      </c>
      <c r="Y188" s="870">
        <v>154168.79999999999</v>
      </c>
      <c r="Z188" s="871">
        <v>106067.91999999991</v>
      </c>
      <c r="AA188" s="869">
        <v>522</v>
      </c>
      <c r="AB188" s="870">
        <v>120215.65000000001</v>
      </c>
      <c r="AC188" s="871">
        <v>81594.09</v>
      </c>
      <c r="AD188" s="869">
        <v>483</v>
      </c>
      <c r="AE188" s="870">
        <v>120002.18999999978</v>
      </c>
      <c r="AF188" s="871">
        <v>75507.249999999796</v>
      </c>
      <c r="AG188" s="869">
        <v>795</v>
      </c>
      <c r="AH188" s="870">
        <v>185587.5</v>
      </c>
      <c r="AI188" s="871">
        <v>128394.82999999999</v>
      </c>
      <c r="AJ188" s="869">
        <v>754</v>
      </c>
      <c r="AK188" s="870">
        <v>193275.15999999989</v>
      </c>
      <c r="AL188" s="871">
        <v>136348.06999999969</v>
      </c>
      <c r="AM188" s="869">
        <v>413</v>
      </c>
      <c r="AN188" s="870">
        <v>111093.38</v>
      </c>
      <c r="AO188" s="871">
        <v>72025.260000000009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0.25">
      <c r="A189" s="540" t="str">
        <f t="shared" si="4"/>
        <v>Service% protit / ventes</v>
      </c>
      <c r="B189" s="623" t="s">
        <v>158</v>
      </c>
      <c r="C189" s="872"/>
      <c r="D189" s="873">
        <v>238.83868847712787</v>
      </c>
      <c r="E189" s="874">
        <v>0.66682417138527206</v>
      </c>
      <c r="F189" s="872"/>
      <c r="G189" s="873">
        <v>211.23262886597911</v>
      </c>
      <c r="H189" s="874">
        <v>0.64501332751573637</v>
      </c>
      <c r="I189" s="872"/>
      <c r="J189" s="873">
        <v>214.74532178217819</v>
      </c>
      <c r="K189" s="874">
        <v>0.65286372494427281</v>
      </c>
      <c r="L189" s="872"/>
      <c r="M189" s="873">
        <v>213.92297482837532</v>
      </c>
      <c r="N189" s="874">
        <v>0.62295866879950146</v>
      </c>
      <c r="O189" s="872"/>
      <c r="P189" s="873">
        <v>228.36489528795801</v>
      </c>
      <c r="Q189" s="874">
        <v>0.63036572657037504</v>
      </c>
      <c r="R189" s="872"/>
      <c r="S189" s="873">
        <v>249.36095006090122</v>
      </c>
      <c r="T189" s="874">
        <v>0.68721370788784608</v>
      </c>
      <c r="U189" s="872"/>
      <c r="V189" s="873">
        <v>239.22764932562623</v>
      </c>
      <c r="W189" s="874">
        <v>0.65917123305048397</v>
      </c>
      <c r="X189" s="872"/>
      <c r="Y189" s="873">
        <v>253.56710526315788</v>
      </c>
      <c r="Z189" s="874">
        <v>0.68799860931654078</v>
      </c>
      <c r="AA189" s="872"/>
      <c r="AB189" s="873">
        <v>230.29818007662837</v>
      </c>
      <c r="AC189" s="874">
        <v>0.67873101380727041</v>
      </c>
      <c r="AD189" s="872"/>
      <c r="AE189" s="873">
        <v>248.45173913043433</v>
      </c>
      <c r="AF189" s="874">
        <v>0.62921560014863009</v>
      </c>
      <c r="AG189" s="872"/>
      <c r="AH189" s="873">
        <v>233.4433962264151</v>
      </c>
      <c r="AI189" s="874">
        <v>0.69182908331649484</v>
      </c>
      <c r="AJ189" s="872"/>
      <c r="AK189" s="873">
        <v>256.33310344827572</v>
      </c>
      <c r="AL189" s="874">
        <v>0.705460908685833</v>
      </c>
      <c r="AM189" s="872"/>
      <c r="AN189" s="873">
        <v>268.99123486682811</v>
      </c>
      <c r="AO189" s="874">
        <v>0.64833080062916448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0.25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25">
      <c r="A191" s="540" t="str">
        <f t="shared" si="4"/>
        <v>ServiceSous-traitement</v>
      </c>
      <c r="B191" s="625" t="s">
        <v>159</v>
      </c>
      <c r="C191" s="854">
        <v>0</v>
      </c>
      <c r="D191" s="876">
        <v>49996.279999999897</v>
      </c>
      <c r="E191" s="807">
        <v>2784.1699999999992</v>
      </c>
      <c r="F191" s="854">
        <v>0</v>
      </c>
      <c r="G191" s="876">
        <v>18427.5799999999</v>
      </c>
      <c r="H191" s="807">
        <v>441.259999999998</v>
      </c>
      <c r="I191" s="854">
        <v>0</v>
      </c>
      <c r="J191" s="876">
        <v>4736.22</v>
      </c>
      <c r="K191" s="807">
        <v>30.290000000000401</v>
      </c>
      <c r="L191" s="854">
        <v>0</v>
      </c>
      <c r="M191" s="876">
        <v>926.99</v>
      </c>
      <c r="N191" s="807">
        <v>281.98</v>
      </c>
      <c r="O191" s="854">
        <v>0</v>
      </c>
      <c r="P191" s="876">
        <v>2037.93</v>
      </c>
      <c r="Q191" s="807">
        <v>18.72</v>
      </c>
      <c r="R191" s="854">
        <v>0</v>
      </c>
      <c r="S191" s="876">
        <v>5830.38</v>
      </c>
      <c r="T191" s="807">
        <v>1140.3800000000001</v>
      </c>
      <c r="U191" s="854">
        <v>0</v>
      </c>
      <c r="V191" s="876">
        <v>1414.9</v>
      </c>
      <c r="W191" s="807">
        <v>139.59</v>
      </c>
      <c r="X191" s="854">
        <v>0</v>
      </c>
      <c r="Y191" s="876">
        <v>3451.71</v>
      </c>
      <c r="Z191" s="807">
        <v>111.9</v>
      </c>
      <c r="AA191" s="854">
        <v>0</v>
      </c>
      <c r="AB191" s="876">
        <v>406</v>
      </c>
      <c r="AC191" s="807">
        <v>48.5</v>
      </c>
      <c r="AD191" s="854">
        <v>0</v>
      </c>
      <c r="AE191" s="876">
        <v>176</v>
      </c>
      <c r="AF191" s="807">
        <v>65</v>
      </c>
      <c r="AG191" s="854">
        <v>0</v>
      </c>
      <c r="AH191" s="876">
        <v>799.95</v>
      </c>
      <c r="AI191" s="807">
        <v>74.95</v>
      </c>
      <c r="AJ191" s="854">
        <v>0</v>
      </c>
      <c r="AK191" s="876">
        <v>611.30999999999995</v>
      </c>
      <c r="AL191" s="807">
        <v>204.51</v>
      </c>
      <c r="AM191" s="854">
        <v>0</v>
      </c>
      <c r="AN191" s="876">
        <v>11177.31</v>
      </c>
      <c r="AO191" s="807">
        <v>227.090000000001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25">
      <c r="A192" s="540" t="str">
        <f t="shared" si="4"/>
        <v>Service% profit / ventes</v>
      </c>
      <c r="B192" s="625" t="s">
        <v>152</v>
      </c>
      <c r="C192" s="856"/>
      <c r="D192" s="863"/>
      <c r="E192" s="857">
        <v>5.56875431532107E-2</v>
      </c>
      <c r="F192" s="856"/>
      <c r="G192" s="863"/>
      <c r="H192" s="857">
        <v>2.3945629323003911E-2</v>
      </c>
      <c r="I192" s="856"/>
      <c r="J192" s="863"/>
      <c r="K192" s="857">
        <v>6.3953954841625598E-3</v>
      </c>
      <c r="L192" s="856"/>
      <c r="M192" s="863"/>
      <c r="N192" s="857">
        <v>0.30418882620092991</v>
      </c>
      <c r="O192" s="856"/>
      <c r="P192" s="863"/>
      <c r="Q192" s="857">
        <v>9.1857914648687637E-3</v>
      </c>
      <c r="R192" s="856"/>
      <c r="S192" s="863"/>
      <c r="T192" s="857">
        <v>0.19559274009584282</v>
      </c>
      <c r="U192" s="856"/>
      <c r="V192" s="863"/>
      <c r="W192" s="857">
        <v>9.8657148915117676E-2</v>
      </c>
      <c r="X192" s="856"/>
      <c r="Y192" s="863"/>
      <c r="Z192" s="857">
        <v>3.2418714202525706E-2</v>
      </c>
      <c r="AA192" s="856"/>
      <c r="AB192" s="863"/>
      <c r="AC192" s="857">
        <v>0.11945812807881774</v>
      </c>
      <c r="AD192" s="856"/>
      <c r="AE192" s="863"/>
      <c r="AF192" s="857">
        <v>0.36931818181818182</v>
      </c>
      <c r="AG192" s="856"/>
      <c r="AH192" s="863"/>
      <c r="AI192" s="857">
        <v>9.3693355834739672E-2</v>
      </c>
      <c r="AJ192" s="856"/>
      <c r="AK192" s="863"/>
      <c r="AL192" s="857">
        <v>0.33454384845659324</v>
      </c>
      <c r="AM192" s="856"/>
      <c r="AN192" s="863"/>
      <c r="AO192" s="857">
        <v>2.0317053029754117E-2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25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25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25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" thickTop="1">
      <c r="A197" s="540" t="str">
        <f t="shared" si="4"/>
        <v>ServiceTotal Mécanique</v>
      </c>
      <c r="B197" s="606" t="s">
        <v>161</v>
      </c>
      <c r="C197" s="795"/>
      <c r="D197" s="882">
        <v>1699893.9399999992</v>
      </c>
      <c r="E197" s="797">
        <v>1102975.8099999989</v>
      </c>
      <c r="F197" s="795"/>
      <c r="G197" s="882">
        <v>100385.83999999979</v>
      </c>
      <c r="H197" s="797">
        <v>53305.429999999797</v>
      </c>
      <c r="I197" s="795"/>
      <c r="J197" s="882">
        <v>91493.329999999987</v>
      </c>
      <c r="K197" s="797">
        <v>56670.860000000008</v>
      </c>
      <c r="L197" s="795"/>
      <c r="M197" s="882">
        <v>94411.330000000016</v>
      </c>
      <c r="N197" s="797">
        <v>58518.859999999993</v>
      </c>
      <c r="O197" s="795"/>
      <c r="P197" s="882">
        <v>176508.7099999999</v>
      </c>
      <c r="Q197" s="797">
        <v>109999.12</v>
      </c>
      <c r="R197" s="795"/>
      <c r="S197" s="882">
        <v>210555.71999999991</v>
      </c>
      <c r="T197" s="797">
        <v>141830.43999999992</v>
      </c>
      <c r="U197" s="795"/>
      <c r="V197" s="882">
        <v>125574.05</v>
      </c>
      <c r="W197" s="797">
        <v>81981.73</v>
      </c>
      <c r="X197" s="795"/>
      <c r="Y197" s="882">
        <v>157620.50999999998</v>
      </c>
      <c r="Z197" s="797">
        <v>106179.81999999991</v>
      </c>
      <c r="AA197" s="795"/>
      <c r="AB197" s="882">
        <v>120621.65000000001</v>
      </c>
      <c r="AC197" s="797">
        <v>81642.59</v>
      </c>
      <c r="AD197" s="795"/>
      <c r="AE197" s="882">
        <v>120178.18999999978</v>
      </c>
      <c r="AF197" s="797">
        <v>75572.249999999796</v>
      </c>
      <c r="AG197" s="795"/>
      <c r="AH197" s="882">
        <v>186387.45</v>
      </c>
      <c r="AI197" s="797">
        <v>128469.77999999998</v>
      </c>
      <c r="AJ197" s="795"/>
      <c r="AK197" s="882">
        <v>193886.46999999988</v>
      </c>
      <c r="AL197" s="797">
        <v>136552.5799999997</v>
      </c>
      <c r="AM197" s="795"/>
      <c r="AN197" s="882">
        <v>122270.69</v>
      </c>
      <c r="AO197" s="797">
        <v>72252.350000000006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" thickBot="1">
      <c r="A198" s="540" t="str">
        <f t="shared" si="4"/>
        <v>Service</v>
      </c>
      <c r="B198" s="607"/>
      <c r="C198" s="798"/>
      <c r="D198" s="799"/>
      <c r="E198" s="883">
        <v>0.64884978059278176</v>
      </c>
      <c r="F198" s="798"/>
      <c r="G198" s="799"/>
      <c r="H198" s="883">
        <v>0.53100546850033736</v>
      </c>
      <c r="I198" s="798"/>
      <c r="J198" s="799"/>
      <c r="K198" s="883">
        <v>0.61939881300636901</v>
      </c>
      <c r="L198" s="798"/>
      <c r="M198" s="799"/>
      <c r="N198" s="883">
        <v>0.61982878537989017</v>
      </c>
      <c r="O198" s="798"/>
      <c r="P198" s="799"/>
      <c r="Q198" s="883">
        <v>0.6231937222814673</v>
      </c>
      <c r="R198" s="798"/>
      <c r="S198" s="799"/>
      <c r="T198" s="883">
        <v>0.67360050821701722</v>
      </c>
      <c r="U198" s="798"/>
      <c r="V198" s="799"/>
      <c r="W198" s="883">
        <v>0.65285566564110975</v>
      </c>
      <c r="X198" s="798"/>
      <c r="Y198" s="799"/>
      <c r="Z198" s="883">
        <v>0.67364215481855705</v>
      </c>
      <c r="AA198" s="798"/>
      <c r="AB198" s="799"/>
      <c r="AC198" s="883">
        <v>0.67684855911024255</v>
      </c>
      <c r="AD198" s="798"/>
      <c r="AE198" s="799"/>
      <c r="AF198" s="883">
        <v>0.62883498245397051</v>
      </c>
      <c r="AG198" s="798"/>
      <c r="AH198" s="799"/>
      <c r="AI198" s="883">
        <v>0.68926196479430335</v>
      </c>
      <c r="AJ198" s="798"/>
      <c r="AK198" s="799"/>
      <c r="AL198" s="883">
        <v>0.70429143405416472</v>
      </c>
      <c r="AM198" s="798"/>
      <c r="AN198" s="799"/>
      <c r="AO198" s="883">
        <v>0.59092125839806742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0.25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25">
      <c r="A201" s="540" t="str">
        <f t="shared" si="4"/>
        <v>ServiceSalaires cadres</v>
      </c>
      <c r="B201" s="626" t="s">
        <v>109</v>
      </c>
      <c r="C201" s="785"/>
      <c r="D201" s="793"/>
      <c r="E201" s="807">
        <v>106449.18</v>
      </c>
      <c r="F201" s="785"/>
      <c r="G201" s="793"/>
      <c r="H201" s="807">
        <v>10325.799999999999</v>
      </c>
      <c r="I201" s="785"/>
      <c r="J201" s="793"/>
      <c r="K201" s="807">
        <v>7213.02</v>
      </c>
      <c r="L201" s="785"/>
      <c r="M201" s="793"/>
      <c r="N201" s="807">
        <v>7629.12</v>
      </c>
      <c r="O201" s="785"/>
      <c r="P201" s="793"/>
      <c r="Q201" s="807">
        <v>8159.54</v>
      </c>
      <c r="R201" s="785"/>
      <c r="S201" s="793"/>
      <c r="T201" s="807">
        <v>10212.879999999999</v>
      </c>
      <c r="U201" s="785"/>
      <c r="V201" s="793"/>
      <c r="W201" s="807">
        <v>6087.28</v>
      </c>
      <c r="X201" s="785"/>
      <c r="Y201" s="793"/>
      <c r="Z201" s="807">
        <v>7802.49</v>
      </c>
      <c r="AA201" s="785"/>
      <c r="AB201" s="793"/>
      <c r="AC201" s="807">
        <v>5178.4799999999996</v>
      </c>
      <c r="AD201" s="785"/>
      <c r="AE201" s="793"/>
      <c r="AF201" s="807">
        <v>9296.8799999999992</v>
      </c>
      <c r="AG201" s="785"/>
      <c r="AH201" s="793"/>
      <c r="AI201" s="807">
        <v>13005.57</v>
      </c>
      <c r="AJ201" s="785"/>
      <c r="AK201" s="793"/>
      <c r="AL201" s="807">
        <v>11433.39</v>
      </c>
      <c r="AM201" s="785"/>
      <c r="AN201" s="793"/>
      <c r="AO201" s="807">
        <v>10104.73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25">
      <c r="A202" s="540" t="str">
        <f t="shared" si="4"/>
        <v>ServiceSalaires commis</v>
      </c>
      <c r="B202" s="629" t="s">
        <v>110</v>
      </c>
      <c r="C202" s="785"/>
      <c r="D202" s="793"/>
      <c r="E202" s="807">
        <v>58715.180000000008</v>
      </c>
      <c r="F202" s="785"/>
      <c r="G202" s="793"/>
      <c r="H202" s="807">
        <v>4144.93</v>
      </c>
      <c r="I202" s="785"/>
      <c r="J202" s="793"/>
      <c r="K202" s="807">
        <v>4550.99</v>
      </c>
      <c r="L202" s="785"/>
      <c r="M202" s="793"/>
      <c r="N202" s="807">
        <v>5016.2</v>
      </c>
      <c r="O202" s="785"/>
      <c r="P202" s="793"/>
      <c r="Q202" s="807">
        <v>4621.95</v>
      </c>
      <c r="R202" s="785"/>
      <c r="S202" s="793"/>
      <c r="T202" s="807">
        <v>5992.31</v>
      </c>
      <c r="U202" s="785"/>
      <c r="V202" s="793"/>
      <c r="W202" s="807">
        <v>4698.12</v>
      </c>
      <c r="X202" s="785"/>
      <c r="Y202" s="793"/>
      <c r="Z202" s="807">
        <v>3844.26</v>
      </c>
      <c r="AA202" s="785"/>
      <c r="AB202" s="793"/>
      <c r="AC202" s="807">
        <v>4973.54</v>
      </c>
      <c r="AD202" s="785"/>
      <c r="AE202" s="793"/>
      <c r="AF202" s="807">
        <v>4601.2700000000004</v>
      </c>
      <c r="AG202" s="785"/>
      <c r="AH202" s="793"/>
      <c r="AI202" s="807">
        <v>5058.6099999999997</v>
      </c>
      <c r="AJ202" s="785"/>
      <c r="AK202" s="793"/>
      <c r="AL202" s="807">
        <v>5254.98</v>
      </c>
      <c r="AM202" s="785"/>
      <c r="AN202" s="793"/>
      <c r="AO202" s="807">
        <v>5958.02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25">
      <c r="A203" s="540" t="str">
        <f t="shared" si="4"/>
        <v>ServiceSalaires autres</v>
      </c>
      <c r="B203" s="626" t="s">
        <v>111</v>
      </c>
      <c r="C203" s="815"/>
      <c r="D203" s="816"/>
      <c r="E203" s="817">
        <v>66716.289999999994</v>
      </c>
      <c r="F203" s="815"/>
      <c r="G203" s="816"/>
      <c r="H203" s="817">
        <v>4515.24</v>
      </c>
      <c r="I203" s="815"/>
      <c r="J203" s="816"/>
      <c r="K203" s="817">
        <v>3915.33</v>
      </c>
      <c r="L203" s="815"/>
      <c r="M203" s="816"/>
      <c r="N203" s="817">
        <v>4656.3500000000004</v>
      </c>
      <c r="O203" s="815"/>
      <c r="P203" s="816"/>
      <c r="Q203" s="817">
        <v>8534</v>
      </c>
      <c r="R203" s="815"/>
      <c r="S203" s="816"/>
      <c r="T203" s="817">
        <v>7265.5</v>
      </c>
      <c r="U203" s="815"/>
      <c r="V203" s="816"/>
      <c r="W203" s="817">
        <v>4219.9399999999996</v>
      </c>
      <c r="X203" s="815"/>
      <c r="Y203" s="816"/>
      <c r="Z203" s="817">
        <v>4358.63</v>
      </c>
      <c r="AA203" s="815"/>
      <c r="AB203" s="816"/>
      <c r="AC203" s="817">
        <v>1451.93</v>
      </c>
      <c r="AD203" s="815"/>
      <c r="AE203" s="816"/>
      <c r="AF203" s="817">
        <v>4542.45</v>
      </c>
      <c r="AG203" s="815"/>
      <c r="AH203" s="816"/>
      <c r="AI203" s="817">
        <v>9581.2000000000007</v>
      </c>
      <c r="AJ203" s="815"/>
      <c r="AK203" s="816"/>
      <c r="AL203" s="817">
        <v>10033.18</v>
      </c>
      <c r="AM203" s="815"/>
      <c r="AN203" s="816"/>
      <c r="AO203" s="817">
        <v>3642.54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25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145388.35999999999</v>
      </c>
      <c r="F204" s="785"/>
      <c r="G204" s="793"/>
      <c r="H204" s="807">
        <v>5820.12</v>
      </c>
      <c r="I204" s="785"/>
      <c r="J204" s="793"/>
      <c r="K204" s="807">
        <v>7346.36</v>
      </c>
      <c r="L204" s="785"/>
      <c r="M204" s="793"/>
      <c r="N204" s="807">
        <v>7315.36</v>
      </c>
      <c r="O204" s="785"/>
      <c r="P204" s="793"/>
      <c r="Q204" s="807">
        <v>12116.41</v>
      </c>
      <c r="R204" s="785"/>
      <c r="S204" s="793"/>
      <c r="T204" s="807">
        <v>17092.900000000001</v>
      </c>
      <c r="U204" s="785"/>
      <c r="V204" s="793"/>
      <c r="W204" s="807">
        <v>14791.16</v>
      </c>
      <c r="X204" s="785"/>
      <c r="Y204" s="793"/>
      <c r="Z204" s="807">
        <v>11978.69</v>
      </c>
      <c r="AA204" s="785"/>
      <c r="AB204" s="793"/>
      <c r="AC204" s="807">
        <v>8653.68</v>
      </c>
      <c r="AD204" s="785"/>
      <c r="AE204" s="793"/>
      <c r="AF204" s="807">
        <v>12462.65</v>
      </c>
      <c r="AG204" s="785"/>
      <c r="AH204" s="793"/>
      <c r="AI204" s="807">
        <v>15814.28</v>
      </c>
      <c r="AJ204" s="785"/>
      <c r="AK204" s="793"/>
      <c r="AL204" s="807">
        <v>15341.02</v>
      </c>
      <c r="AM204" s="785"/>
      <c r="AN204" s="793"/>
      <c r="AO204" s="807">
        <v>16655.73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/>
      <c r="I205" s="785"/>
      <c r="J205" s="793"/>
      <c r="K205" s="807"/>
      <c r="L205" s="785"/>
      <c r="M205" s="793"/>
      <c r="N205" s="807"/>
      <c r="O205" s="785"/>
      <c r="P205" s="793"/>
      <c r="Q205" s="807"/>
      <c r="R205" s="785"/>
      <c r="S205" s="793"/>
      <c r="T205" s="807"/>
      <c r="U205" s="785"/>
      <c r="V205" s="793"/>
      <c r="W205" s="807"/>
      <c r="X205" s="785"/>
      <c r="Y205" s="793"/>
      <c r="Z205" s="807"/>
      <c r="AA205" s="785"/>
      <c r="AB205" s="793"/>
      <c r="AC205" s="807"/>
      <c r="AD205" s="785"/>
      <c r="AE205" s="793"/>
      <c r="AF205" s="807"/>
      <c r="AG205" s="785"/>
      <c r="AH205" s="793"/>
      <c r="AI205" s="807"/>
      <c r="AJ205" s="785"/>
      <c r="AK205" s="793"/>
      <c r="AL205" s="807"/>
      <c r="AM205" s="785"/>
      <c r="AN205" s="793"/>
      <c r="AO205" s="807"/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25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94283.599999999991</v>
      </c>
      <c r="F208" s="785"/>
      <c r="G208" s="793"/>
      <c r="H208" s="807">
        <v>9838.67</v>
      </c>
      <c r="I208" s="785"/>
      <c r="J208" s="793"/>
      <c r="K208" s="807">
        <v>7756.48</v>
      </c>
      <c r="L208" s="785"/>
      <c r="M208" s="793"/>
      <c r="N208" s="807">
        <v>8465.07</v>
      </c>
      <c r="O208" s="785"/>
      <c r="P208" s="793"/>
      <c r="Q208" s="807">
        <v>3656.35</v>
      </c>
      <c r="R208" s="785"/>
      <c r="S208" s="793"/>
      <c r="T208" s="807">
        <v>8531.0499999999993</v>
      </c>
      <c r="U208" s="785"/>
      <c r="V208" s="793"/>
      <c r="W208" s="807">
        <v>6304.75</v>
      </c>
      <c r="X208" s="785"/>
      <c r="Y208" s="793"/>
      <c r="Z208" s="807">
        <v>6574.63</v>
      </c>
      <c r="AA208" s="785"/>
      <c r="AB208" s="793"/>
      <c r="AC208" s="807">
        <v>5424.09</v>
      </c>
      <c r="AD208" s="785"/>
      <c r="AE208" s="793"/>
      <c r="AF208" s="807">
        <v>6859.45</v>
      </c>
      <c r="AG208" s="785"/>
      <c r="AH208" s="793"/>
      <c r="AI208" s="807">
        <v>8709.2900000000009</v>
      </c>
      <c r="AJ208" s="785"/>
      <c r="AK208" s="793"/>
      <c r="AL208" s="807">
        <v>6133.75</v>
      </c>
      <c r="AM208" s="785"/>
      <c r="AN208" s="793"/>
      <c r="AO208" s="807">
        <v>16030.02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25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119091.77000000002</v>
      </c>
      <c r="F209" s="815"/>
      <c r="G209" s="816"/>
      <c r="H209" s="817">
        <v>8912.5</v>
      </c>
      <c r="I209" s="815"/>
      <c r="J209" s="816"/>
      <c r="K209" s="817">
        <v>7763.9</v>
      </c>
      <c r="L209" s="815"/>
      <c r="M209" s="816"/>
      <c r="N209" s="817">
        <v>8772.86</v>
      </c>
      <c r="O209" s="815"/>
      <c r="P209" s="816"/>
      <c r="Q209" s="817">
        <v>9937.5</v>
      </c>
      <c r="R209" s="815"/>
      <c r="S209" s="816"/>
      <c r="T209" s="817">
        <v>11863.05</v>
      </c>
      <c r="U209" s="815"/>
      <c r="V209" s="816"/>
      <c r="W209" s="817">
        <v>9477.68</v>
      </c>
      <c r="X209" s="815"/>
      <c r="Y209" s="816"/>
      <c r="Z209" s="817">
        <v>11172.14</v>
      </c>
      <c r="AA209" s="815"/>
      <c r="AB209" s="816"/>
      <c r="AC209" s="817">
        <v>9537.57</v>
      </c>
      <c r="AD209" s="815"/>
      <c r="AE209" s="816"/>
      <c r="AF209" s="817">
        <v>8617.6</v>
      </c>
      <c r="AG209" s="815"/>
      <c r="AH209" s="816"/>
      <c r="AI209" s="817">
        <v>12168.59</v>
      </c>
      <c r="AJ209" s="815"/>
      <c r="AK209" s="816"/>
      <c r="AL209" s="817">
        <v>11073.56</v>
      </c>
      <c r="AM209" s="815"/>
      <c r="AN209" s="816"/>
      <c r="AO209" s="817">
        <v>9794.82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25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51275.560000000005</v>
      </c>
      <c r="F210" s="785"/>
      <c r="G210" s="793"/>
      <c r="H210" s="807">
        <v>4696.3999999999996</v>
      </c>
      <c r="I210" s="785"/>
      <c r="J210" s="793"/>
      <c r="K210" s="807">
        <v>5051.79</v>
      </c>
      <c r="L210" s="785"/>
      <c r="M210" s="793"/>
      <c r="N210" s="807">
        <v>4406.28</v>
      </c>
      <c r="O210" s="785"/>
      <c r="P210" s="793"/>
      <c r="Q210" s="807">
        <v>4285.6000000000004</v>
      </c>
      <c r="R210" s="785"/>
      <c r="S210" s="793"/>
      <c r="T210" s="807">
        <v>4322.59</v>
      </c>
      <c r="U210" s="785"/>
      <c r="V210" s="793"/>
      <c r="W210" s="807">
        <v>3595.46</v>
      </c>
      <c r="X210" s="785"/>
      <c r="Y210" s="793"/>
      <c r="Z210" s="807">
        <v>4627.91</v>
      </c>
      <c r="AA210" s="785"/>
      <c r="AB210" s="793"/>
      <c r="AC210" s="807">
        <v>4254.6899999999996</v>
      </c>
      <c r="AD210" s="785"/>
      <c r="AE210" s="793"/>
      <c r="AF210" s="807">
        <v>3787.46</v>
      </c>
      <c r="AG210" s="785"/>
      <c r="AH210" s="793"/>
      <c r="AI210" s="807">
        <v>4869.6099999999997</v>
      </c>
      <c r="AJ210" s="785"/>
      <c r="AK210" s="793"/>
      <c r="AL210" s="807">
        <v>3329.59</v>
      </c>
      <c r="AM210" s="785"/>
      <c r="AN210" s="793"/>
      <c r="AO210" s="807">
        <v>4048.18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25">
      <c r="A211" s="540" t="str">
        <f t="shared" si="4"/>
        <v>ServiceCsst</v>
      </c>
      <c r="B211" s="626" t="s">
        <v>116</v>
      </c>
      <c r="C211" s="785"/>
      <c r="D211" s="793"/>
      <c r="E211" s="807">
        <v>14532.21</v>
      </c>
      <c r="F211" s="785"/>
      <c r="G211" s="793"/>
      <c r="H211" s="807">
        <v>1059.68</v>
      </c>
      <c r="I211" s="785"/>
      <c r="J211" s="793"/>
      <c r="K211" s="807">
        <v>1241.3900000000001</v>
      </c>
      <c r="L211" s="785"/>
      <c r="M211" s="793"/>
      <c r="N211" s="807">
        <v>1023.64</v>
      </c>
      <c r="O211" s="785"/>
      <c r="P211" s="793"/>
      <c r="Q211" s="807">
        <v>1263.33</v>
      </c>
      <c r="R211" s="785"/>
      <c r="S211" s="793"/>
      <c r="T211" s="807">
        <v>1448.81</v>
      </c>
      <c r="U211" s="785"/>
      <c r="V211" s="793"/>
      <c r="W211" s="807">
        <v>1114.99</v>
      </c>
      <c r="X211" s="785"/>
      <c r="Y211" s="793"/>
      <c r="Z211" s="807">
        <v>893.99</v>
      </c>
      <c r="AA211" s="785"/>
      <c r="AB211" s="793"/>
      <c r="AC211" s="807">
        <v>1117.82</v>
      </c>
      <c r="AD211" s="785"/>
      <c r="AE211" s="793"/>
      <c r="AF211" s="807">
        <v>1035.9000000000001</v>
      </c>
      <c r="AG211" s="785"/>
      <c r="AH211" s="793"/>
      <c r="AI211" s="807">
        <v>1646.95</v>
      </c>
      <c r="AJ211" s="785"/>
      <c r="AK211" s="793"/>
      <c r="AL211" s="807">
        <v>1482.15</v>
      </c>
      <c r="AM211" s="785"/>
      <c r="AN211" s="793"/>
      <c r="AO211" s="807">
        <v>1203.56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0.25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0.59516459386357767</v>
      </c>
      <c r="E213" s="814">
        <v>656452.14999999991</v>
      </c>
      <c r="F213" s="812" t="s">
        <v>162</v>
      </c>
      <c r="G213" s="813">
        <v>0</v>
      </c>
      <c r="H213" s="814">
        <v>49313.340000000004</v>
      </c>
      <c r="I213" s="812" t="s">
        <v>162</v>
      </c>
      <c r="J213" s="813">
        <v>0</v>
      </c>
      <c r="K213" s="814">
        <v>44839.26</v>
      </c>
      <c r="L213" s="812" t="s">
        <v>162</v>
      </c>
      <c r="M213" s="813">
        <v>0</v>
      </c>
      <c r="N213" s="814">
        <v>47284.88</v>
      </c>
      <c r="O213" s="812" t="s">
        <v>162</v>
      </c>
      <c r="P213" s="813">
        <v>0</v>
      </c>
      <c r="Q213" s="814">
        <v>52574.679999999993</v>
      </c>
      <c r="R213" s="812" t="s">
        <v>162</v>
      </c>
      <c r="S213" s="813">
        <v>0</v>
      </c>
      <c r="T213" s="814">
        <v>66729.09</v>
      </c>
      <c r="U213" s="812" t="s">
        <v>162</v>
      </c>
      <c r="V213" s="813">
        <v>0</v>
      </c>
      <c r="W213" s="814">
        <v>50289.38</v>
      </c>
      <c r="X213" s="812" t="s">
        <v>162</v>
      </c>
      <c r="Y213" s="813">
        <v>0</v>
      </c>
      <c r="Z213" s="814">
        <v>51252.74</v>
      </c>
      <c r="AA213" s="812" t="s">
        <v>162</v>
      </c>
      <c r="AB213" s="813">
        <v>0</v>
      </c>
      <c r="AC213" s="814">
        <v>40591.800000000003</v>
      </c>
      <c r="AD213" s="812" t="s">
        <v>162</v>
      </c>
      <c r="AE213" s="813">
        <v>0</v>
      </c>
      <c r="AF213" s="814">
        <v>51203.659999999996</v>
      </c>
      <c r="AG213" s="812" t="s">
        <v>162</v>
      </c>
      <c r="AH213" s="813">
        <v>0</v>
      </c>
      <c r="AI213" s="814">
        <v>70854.100000000006</v>
      </c>
      <c r="AJ213" s="812" t="s">
        <v>162</v>
      </c>
      <c r="AK213" s="813">
        <v>0</v>
      </c>
      <c r="AL213" s="814">
        <v>64081.62</v>
      </c>
      <c r="AM213" s="812" t="s">
        <v>162</v>
      </c>
      <c r="AN213" s="813">
        <v>0</v>
      </c>
      <c r="AO213" s="814">
        <v>67437.600000000006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25">
      <c r="A214" s="540" t="str">
        <f t="shared" si="4"/>
        <v>ServicePublicité 2</v>
      </c>
      <c r="B214" s="550" t="s">
        <v>118</v>
      </c>
      <c r="C214" s="785"/>
      <c r="D214" s="793"/>
      <c r="E214" s="807">
        <v>76296.850000000006</v>
      </c>
      <c r="F214" s="785"/>
      <c r="G214" s="793"/>
      <c r="H214" s="807">
        <v>4159.97</v>
      </c>
      <c r="I214" s="785"/>
      <c r="J214" s="793"/>
      <c r="K214" s="807">
        <v>4445.38</v>
      </c>
      <c r="L214" s="785"/>
      <c r="M214" s="793"/>
      <c r="N214" s="807">
        <v>7946.69</v>
      </c>
      <c r="O214" s="785"/>
      <c r="P214" s="793"/>
      <c r="Q214" s="807">
        <v>7062.93</v>
      </c>
      <c r="R214" s="785"/>
      <c r="S214" s="793"/>
      <c r="T214" s="807">
        <v>7447.94</v>
      </c>
      <c r="U214" s="785"/>
      <c r="V214" s="793"/>
      <c r="W214" s="807">
        <v>4098.54</v>
      </c>
      <c r="X214" s="785"/>
      <c r="Y214" s="793"/>
      <c r="Z214" s="807">
        <v>4679.3999999999996</v>
      </c>
      <c r="AA214" s="785"/>
      <c r="AB214" s="793"/>
      <c r="AC214" s="807">
        <v>4115.96</v>
      </c>
      <c r="AD214" s="785"/>
      <c r="AE214" s="793"/>
      <c r="AF214" s="807">
        <v>7320.4</v>
      </c>
      <c r="AG214" s="785"/>
      <c r="AH214" s="793"/>
      <c r="AI214" s="807">
        <v>4720.4399999999996</v>
      </c>
      <c r="AJ214" s="785"/>
      <c r="AK214" s="793"/>
      <c r="AL214" s="807">
        <v>13862.87</v>
      </c>
      <c r="AM214" s="785"/>
      <c r="AN214" s="793"/>
      <c r="AO214" s="807">
        <v>6436.33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25">
      <c r="A215" s="540" t="str">
        <f t="shared" si="4"/>
        <v>ServiceService gratuit 2</v>
      </c>
      <c r="B215" s="550" t="s">
        <v>119</v>
      </c>
      <c r="C215" s="785"/>
      <c r="D215" s="793"/>
      <c r="E215" s="807">
        <v>38735.719999999979</v>
      </c>
      <c r="F215" s="785"/>
      <c r="G215" s="793"/>
      <c r="H215" s="807">
        <v>2160.16</v>
      </c>
      <c r="I215" s="785"/>
      <c r="J215" s="793"/>
      <c r="K215" s="807">
        <v>1602.15</v>
      </c>
      <c r="L215" s="785"/>
      <c r="M215" s="793"/>
      <c r="N215" s="807">
        <v>2338.5299999999902</v>
      </c>
      <c r="O215" s="785"/>
      <c r="P215" s="793"/>
      <c r="Q215" s="807">
        <v>2513.5</v>
      </c>
      <c r="R215" s="785"/>
      <c r="S215" s="793"/>
      <c r="T215" s="807">
        <v>4070.9399999999901</v>
      </c>
      <c r="U215" s="785"/>
      <c r="V215" s="793"/>
      <c r="W215" s="807">
        <v>2633</v>
      </c>
      <c r="X215" s="785"/>
      <c r="Y215" s="793"/>
      <c r="Z215" s="807">
        <v>5937.46</v>
      </c>
      <c r="AA215" s="785"/>
      <c r="AB215" s="793"/>
      <c r="AC215" s="807">
        <v>1800.15</v>
      </c>
      <c r="AD215" s="785"/>
      <c r="AE215" s="793"/>
      <c r="AF215" s="807">
        <v>1948.28</v>
      </c>
      <c r="AG215" s="785"/>
      <c r="AH215" s="793"/>
      <c r="AI215" s="807">
        <v>4386.93</v>
      </c>
      <c r="AJ215" s="785"/>
      <c r="AK215" s="793"/>
      <c r="AL215" s="807">
        <v>3747.66</v>
      </c>
      <c r="AM215" s="785"/>
      <c r="AN215" s="793"/>
      <c r="AO215" s="807">
        <v>5596.96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25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59170.969999999987</v>
      </c>
      <c r="F216" s="811"/>
      <c r="G216" s="818"/>
      <c r="H216" s="810">
        <v>3850.35</v>
      </c>
      <c r="I216" s="811"/>
      <c r="J216" s="818"/>
      <c r="K216" s="810">
        <v>4897.2</v>
      </c>
      <c r="L216" s="811"/>
      <c r="M216" s="818"/>
      <c r="N216" s="810">
        <v>-2938.94</v>
      </c>
      <c r="O216" s="811"/>
      <c r="P216" s="818"/>
      <c r="Q216" s="810">
        <v>4922.0499999999902</v>
      </c>
      <c r="R216" s="811"/>
      <c r="S216" s="818"/>
      <c r="T216" s="810">
        <v>5216.07</v>
      </c>
      <c r="U216" s="811"/>
      <c r="V216" s="818"/>
      <c r="W216" s="810">
        <v>5432.36</v>
      </c>
      <c r="X216" s="811"/>
      <c r="Y216" s="818"/>
      <c r="Z216" s="810">
        <v>6651.28</v>
      </c>
      <c r="AA216" s="811"/>
      <c r="AB216" s="818"/>
      <c r="AC216" s="810">
        <v>5294.89</v>
      </c>
      <c r="AD216" s="811"/>
      <c r="AE216" s="818"/>
      <c r="AF216" s="810">
        <v>4543.43</v>
      </c>
      <c r="AG216" s="811"/>
      <c r="AH216" s="818"/>
      <c r="AI216" s="810">
        <v>5749.36</v>
      </c>
      <c r="AJ216" s="811"/>
      <c r="AK216" s="818"/>
      <c r="AL216" s="810">
        <v>8311.58</v>
      </c>
      <c r="AM216" s="811"/>
      <c r="AN216" s="818"/>
      <c r="AO216" s="810">
        <v>7241.34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25">
      <c r="A217" s="540" t="str">
        <f t="shared" si="4"/>
        <v>ServiceInformatique</v>
      </c>
      <c r="B217" s="550" t="s">
        <v>121</v>
      </c>
      <c r="C217" s="785"/>
      <c r="D217" s="793"/>
      <c r="E217" s="807">
        <v>68693.52</v>
      </c>
      <c r="F217" s="785"/>
      <c r="G217" s="793"/>
      <c r="H217" s="807">
        <v>5840.15</v>
      </c>
      <c r="I217" s="785"/>
      <c r="J217" s="793"/>
      <c r="K217" s="807">
        <v>5298.05</v>
      </c>
      <c r="L217" s="785"/>
      <c r="M217" s="793"/>
      <c r="N217" s="807">
        <v>5288.06</v>
      </c>
      <c r="O217" s="785"/>
      <c r="P217" s="793"/>
      <c r="Q217" s="807">
        <v>5548.89</v>
      </c>
      <c r="R217" s="785"/>
      <c r="S217" s="793"/>
      <c r="T217" s="807">
        <v>5478.25</v>
      </c>
      <c r="U217" s="785"/>
      <c r="V217" s="793"/>
      <c r="W217" s="807">
        <v>5512.51</v>
      </c>
      <c r="X217" s="785"/>
      <c r="Y217" s="793"/>
      <c r="Z217" s="807">
        <v>5592.82</v>
      </c>
      <c r="AA217" s="785"/>
      <c r="AB217" s="793"/>
      <c r="AC217" s="807">
        <v>6311.06</v>
      </c>
      <c r="AD217" s="785"/>
      <c r="AE217" s="793"/>
      <c r="AF217" s="807">
        <v>5458.02</v>
      </c>
      <c r="AG217" s="785"/>
      <c r="AH217" s="793"/>
      <c r="AI217" s="807">
        <v>6363.22</v>
      </c>
      <c r="AJ217" s="785"/>
      <c r="AK217" s="793"/>
      <c r="AL217" s="807">
        <v>5624.18</v>
      </c>
      <c r="AM217" s="785"/>
      <c r="AN217" s="793"/>
      <c r="AO217" s="807">
        <v>6378.31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25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7242.4199999999983</v>
      </c>
      <c r="F218" s="785"/>
      <c r="G218" s="793"/>
      <c r="H218" s="807">
        <v>313.06</v>
      </c>
      <c r="I218" s="785"/>
      <c r="J218" s="793"/>
      <c r="K218" s="807">
        <v>371.21</v>
      </c>
      <c r="L218" s="785"/>
      <c r="M218" s="793"/>
      <c r="N218" s="807">
        <v>3691.38</v>
      </c>
      <c r="O218" s="785"/>
      <c r="P218" s="793"/>
      <c r="Q218" s="807">
        <v>885.31</v>
      </c>
      <c r="R218" s="785"/>
      <c r="S218" s="793"/>
      <c r="T218" s="807">
        <v>418.95</v>
      </c>
      <c r="U218" s="785"/>
      <c r="V218" s="793"/>
      <c r="W218" s="807">
        <v>240.52</v>
      </c>
      <c r="X218" s="785"/>
      <c r="Y218" s="793"/>
      <c r="Z218" s="807">
        <v>-479.83</v>
      </c>
      <c r="AA218" s="785"/>
      <c r="AB218" s="793"/>
      <c r="AC218" s="807">
        <v>362.84</v>
      </c>
      <c r="AD218" s="785"/>
      <c r="AE218" s="793"/>
      <c r="AF218" s="807">
        <v>404.77</v>
      </c>
      <c r="AG218" s="785"/>
      <c r="AH218" s="793"/>
      <c r="AI218" s="807">
        <v>555.9</v>
      </c>
      <c r="AJ218" s="785"/>
      <c r="AK218" s="793"/>
      <c r="AL218" s="807">
        <v>491.23</v>
      </c>
      <c r="AM218" s="785"/>
      <c r="AN218" s="793"/>
      <c r="AO218" s="807">
        <v>-12.92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25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70034.760000000009</v>
      </c>
      <c r="F219" s="811"/>
      <c r="G219" s="818"/>
      <c r="H219" s="810">
        <v>4053.93</v>
      </c>
      <c r="I219" s="811"/>
      <c r="J219" s="818"/>
      <c r="K219" s="810">
        <v>4472.47</v>
      </c>
      <c r="L219" s="811"/>
      <c r="M219" s="818"/>
      <c r="N219" s="810">
        <v>6248.69</v>
      </c>
      <c r="O219" s="811"/>
      <c r="P219" s="818"/>
      <c r="Q219" s="810">
        <v>5229</v>
      </c>
      <c r="R219" s="811"/>
      <c r="S219" s="818"/>
      <c r="T219" s="810">
        <v>6675.26</v>
      </c>
      <c r="U219" s="811"/>
      <c r="V219" s="818"/>
      <c r="W219" s="810">
        <v>7189.94</v>
      </c>
      <c r="X219" s="811"/>
      <c r="Y219" s="818"/>
      <c r="Z219" s="810">
        <v>5555.76</v>
      </c>
      <c r="AA219" s="811"/>
      <c r="AB219" s="818"/>
      <c r="AC219" s="810">
        <v>4969.43</v>
      </c>
      <c r="AD219" s="811"/>
      <c r="AE219" s="818"/>
      <c r="AF219" s="810">
        <v>4402.0600000000004</v>
      </c>
      <c r="AG219" s="811"/>
      <c r="AH219" s="818"/>
      <c r="AI219" s="810">
        <v>8677.14</v>
      </c>
      <c r="AJ219" s="811"/>
      <c r="AK219" s="818"/>
      <c r="AL219" s="810">
        <v>8141.26</v>
      </c>
      <c r="AM219" s="811"/>
      <c r="AN219" s="818"/>
      <c r="AO219" s="810">
        <v>4419.82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25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25">
      <c r="A221" s="540" t="str">
        <f t="shared" si="4"/>
        <v>ServiceFournitures autres</v>
      </c>
      <c r="B221" s="550" t="s">
        <v>124</v>
      </c>
      <c r="C221" s="785"/>
      <c r="D221" s="793"/>
      <c r="E221" s="807">
        <v>14561.639999999998</v>
      </c>
      <c r="F221" s="785"/>
      <c r="G221" s="793"/>
      <c r="H221" s="807">
        <v>1174.55</v>
      </c>
      <c r="I221" s="785"/>
      <c r="J221" s="793"/>
      <c r="K221" s="807">
        <v>988.21</v>
      </c>
      <c r="L221" s="785"/>
      <c r="M221" s="793"/>
      <c r="N221" s="807">
        <v>2130.4699999999998</v>
      </c>
      <c r="O221" s="785"/>
      <c r="P221" s="793"/>
      <c r="Q221" s="807">
        <v>-28.96</v>
      </c>
      <c r="R221" s="785"/>
      <c r="S221" s="793"/>
      <c r="T221" s="807">
        <v>663.88</v>
      </c>
      <c r="U221" s="785"/>
      <c r="V221" s="793"/>
      <c r="W221" s="807">
        <v>765.73</v>
      </c>
      <c r="X221" s="785"/>
      <c r="Y221" s="793"/>
      <c r="Z221" s="807">
        <v>1021.89</v>
      </c>
      <c r="AA221" s="785"/>
      <c r="AB221" s="793"/>
      <c r="AC221" s="807">
        <v>1503.46</v>
      </c>
      <c r="AD221" s="785"/>
      <c r="AE221" s="793"/>
      <c r="AF221" s="807">
        <v>520.05999999999995</v>
      </c>
      <c r="AG221" s="785"/>
      <c r="AH221" s="793"/>
      <c r="AI221" s="807">
        <v>2212.33</v>
      </c>
      <c r="AJ221" s="785"/>
      <c r="AK221" s="793"/>
      <c r="AL221" s="807">
        <v>527.96</v>
      </c>
      <c r="AM221" s="785"/>
      <c r="AN221" s="793"/>
      <c r="AO221" s="807">
        <v>3082.06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25">
      <c r="A222" s="540" t="str">
        <f t="shared" si="4"/>
        <v>ServiceUniformes</v>
      </c>
      <c r="B222" s="550" t="s">
        <v>125</v>
      </c>
      <c r="C222" s="785"/>
      <c r="D222" s="793"/>
      <c r="E222" s="807">
        <v>13543.330000000002</v>
      </c>
      <c r="F222" s="785"/>
      <c r="G222" s="793"/>
      <c r="H222" s="807">
        <v>888.43</v>
      </c>
      <c r="I222" s="785"/>
      <c r="J222" s="793"/>
      <c r="K222" s="807">
        <v>834.79</v>
      </c>
      <c r="L222" s="785"/>
      <c r="M222" s="793"/>
      <c r="N222" s="807">
        <v>920.35</v>
      </c>
      <c r="O222" s="785"/>
      <c r="P222" s="793"/>
      <c r="Q222" s="807">
        <v>1182</v>
      </c>
      <c r="R222" s="785"/>
      <c r="S222" s="793"/>
      <c r="T222" s="807">
        <v>563.67999999999995</v>
      </c>
      <c r="U222" s="785"/>
      <c r="V222" s="793"/>
      <c r="W222" s="807">
        <v>1192.3800000000001</v>
      </c>
      <c r="X222" s="785"/>
      <c r="Y222" s="793"/>
      <c r="Z222" s="807">
        <v>1297.26</v>
      </c>
      <c r="AA222" s="785"/>
      <c r="AB222" s="793"/>
      <c r="AC222" s="807">
        <v>1583.58</v>
      </c>
      <c r="AD222" s="785"/>
      <c r="AE222" s="793"/>
      <c r="AF222" s="807">
        <v>1072.2</v>
      </c>
      <c r="AG222" s="785"/>
      <c r="AH222" s="793"/>
      <c r="AI222" s="807">
        <v>739.84</v>
      </c>
      <c r="AJ222" s="785"/>
      <c r="AK222" s="793"/>
      <c r="AL222" s="807">
        <v>2026.62</v>
      </c>
      <c r="AM222" s="785"/>
      <c r="AN222" s="793"/>
      <c r="AO222" s="807">
        <v>1242.2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25">
      <c r="A223" s="540" t="str">
        <f t="shared" si="4"/>
        <v>ServicePapeterie</v>
      </c>
      <c r="B223" s="550" t="s">
        <v>126</v>
      </c>
      <c r="C223" s="785"/>
      <c r="D223" s="793"/>
      <c r="E223" s="807">
        <v>4116.9699999999993</v>
      </c>
      <c r="F223" s="785"/>
      <c r="G223" s="793"/>
      <c r="H223" s="807">
        <v>156.81</v>
      </c>
      <c r="I223" s="785"/>
      <c r="J223" s="793"/>
      <c r="K223" s="807">
        <v>388.79</v>
      </c>
      <c r="L223" s="785"/>
      <c r="M223" s="793"/>
      <c r="N223" s="807">
        <v>576.83000000000004</v>
      </c>
      <c r="O223" s="785"/>
      <c r="P223" s="793"/>
      <c r="Q223" s="807">
        <v>464.49</v>
      </c>
      <c r="R223" s="785"/>
      <c r="S223" s="793"/>
      <c r="T223" s="807">
        <v>343.72</v>
      </c>
      <c r="U223" s="785"/>
      <c r="V223" s="793"/>
      <c r="W223" s="807">
        <v>251.4</v>
      </c>
      <c r="X223" s="785"/>
      <c r="Y223" s="793"/>
      <c r="Z223" s="807">
        <v>375.66</v>
      </c>
      <c r="AA223" s="785"/>
      <c r="AB223" s="793"/>
      <c r="AC223" s="807">
        <v>442.41</v>
      </c>
      <c r="AD223" s="785"/>
      <c r="AE223" s="793"/>
      <c r="AF223" s="807">
        <v>168.13</v>
      </c>
      <c r="AG223" s="785"/>
      <c r="AH223" s="793"/>
      <c r="AI223" s="807">
        <v>428.36</v>
      </c>
      <c r="AJ223" s="785"/>
      <c r="AK223" s="793"/>
      <c r="AL223" s="807">
        <v>278.7</v>
      </c>
      <c r="AM223" s="785"/>
      <c r="AN223" s="793"/>
      <c r="AO223" s="807">
        <v>241.67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25">
      <c r="A224" s="540" t="str">
        <f t="shared" si="4"/>
        <v>ServiceTéléphone</v>
      </c>
      <c r="B224" s="550" t="s">
        <v>127</v>
      </c>
      <c r="C224" s="785"/>
      <c r="D224" s="793"/>
      <c r="E224" s="807">
        <v>1381.67</v>
      </c>
      <c r="F224" s="785"/>
      <c r="G224" s="793"/>
      <c r="H224" s="807">
        <v>98.23</v>
      </c>
      <c r="I224" s="785"/>
      <c r="J224" s="793"/>
      <c r="K224" s="807">
        <v>97.98</v>
      </c>
      <c r="L224" s="785"/>
      <c r="M224" s="793"/>
      <c r="N224" s="807">
        <v>122.75</v>
      </c>
      <c r="O224" s="785"/>
      <c r="P224" s="793"/>
      <c r="Q224" s="807">
        <v>114.27</v>
      </c>
      <c r="R224" s="785"/>
      <c r="S224" s="793"/>
      <c r="T224" s="807">
        <v>106.7</v>
      </c>
      <c r="U224" s="785"/>
      <c r="V224" s="793"/>
      <c r="W224" s="807">
        <v>166.04</v>
      </c>
      <c r="X224" s="785"/>
      <c r="Y224" s="793"/>
      <c r="Z224" s="807">
        <v>83.34</v>
      </c>
      <c r="AA224" s="785"/>
      <c r="AB224" s="793"/>
      <c r="AC224" s="807">
        <v>61.37</v>
      </c>
      <c r="AD224" s="785"/>
      <c r="AE224" s="793"/>
      <c r="AF224" s="807">
        <v>69.62</v>
      </c>
      <c r="AG224" s="785"/>
      <c r="AH224" s="793"/>
      <c r="AI224" s="807">
        <v>73.459999999999994</v>
      </c>
      <c r="AJ224" s="785"/>
      <c r="AK224" s="793"/>
      <c r="AL224" s="807">
        <v>277.70999999999998</v>
      </c>
      <c r="AM224" s="785"/>
      <c r="AN224" s="793"/>
      <c r="AO224" s="807">
        <v>110.2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25">
      <c r="A225" s="540" t="str">
        <f t="shared" si="4"/>
        <v>ServiceFrais postaux</v>
      </c>
      <c r="B225" s="550" t="s">
        <v>128</v>
      </c>
      <c r="C225" s="785"/>
      <c r="D225" s="793"/>
      <c r="E225" s="807">
        <v>1474.79</v>
      </c>
      <c r="F225" s="785"/>
      <c r="G225" s="793"/>
      <c r="H225" s="807">
        <v>25.41</v>
      </c>
      <c r="I225" s="785"/>
      <c r="J225" s="793"/>
      <c r="K225" s="807">
        <v>58.35</v>
      </c>
      <c r="L225" s="785"/>
      <c r="M225" s="793"/>
      <c r="N225" s="807">
        <v>67.819999999999993</v>
      </c>
      <c r="O225" s="785"/>
      <c r="P225" s="793"/>
      <c r="Q225" s="807">
        <v>158.36000000000001</v>
      </c>
      <c r="R225" s="785"/>
      <c r="S225" s="793"/>
      <c r="T225" s="807">
        <v>226.25</v>
      </c>
      <c r="U225" s="785"/>
      <c r="V225" s="793"/>
      <c r="W225" s="807">
        <v>101.88</v>
      </c>
      <c r="X225" s="785"/>
      <c r="Y225" s="793"/>
      <c r="Z225" s="807">
        <v>74.459999999999994</v>
      </c>
      <c r="AA225" s="785"/>
      <c r="AB225" s="793"/>
      <c r="AC225" s="807">
        <v>51.17</v>
      </c>
      <c r="AD225" s="785"/>
      <c r="AE225" s="793"/>
      <c r="AF225" s="807">
        <v>7.43</v>
      </c>
      <c r="AG225" s="785"/>
      <c r="AH225" s="793"/>
      <c r="AI225" s="807">
        <v>280.58</v>
      </c>
      <c r="AJ225" s="785"/>
      <c r="AK225" s="793"/>
      <c r="AL225" s="807">
        <v>292.77999999999997</v>
      </c>
      <c r="AM225" s="785"/>
      <c r="AN225" s="793"/>
      <c r="AO225" s="807">
        <v>130.30000000000001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25">
      <c r="A226" s="540" t="str">
        <f t="shared" si="4"/>
        <v>ServiceDivers</v>
      </c>
      <c r="B226" s="550" t="s">
        <v>129</v>
      </c>
      <c r="C226" s="785"/>
      <c r="D226" s="793"/>
      <c r="E226" s="807">
        <v>5452.2899999999991</v>
      </c>
      <c r="F226" s="785"/>
      <c r="G226" s="793"/>
      <c r="H226" s="807">
        <v>480.79</v>
      </c>
      <c r="I226" s="785"/>
      <c r="J226" s="793"/>
      <c r="K226" s="807">
        <v>326.60000000000002</v>
      </c>
      <c r="L226" s="785"/>
      <c r="M226" s="793"/>
      <c r="N226" s="807">
        <v>363.27</v>
      </c>
      <c r="O226" s="785"/>
      <c r="P226" s="793"/>
      <c r="Q226" s="807">
        <v>416.49</v>
      </c>
      <c r="R226" s="785"/>
      <c r="S226" s="793"/>
      <c r="T226" s="807">
        <v>325.36</v>
      </c>
      <c r="U226" s="785"/>
      <c r="V226" s="793"/>
      <c r="W226" s="807">
        <v>325.36</v>
      </c>
      <c r="X226" s="785"/>
      <c r="Y226" s="793"/>
      <c r="Z226" s="807">
        <v>325.36</v>
      </c>
      <c r="AA226" s="785"/>
      <c r="AB226" s="793"/>
      <c r="AC226" s="807">
        <v>416.49</v>
      </c>
      <c r="AD226" s="785"/>
      <c r="AE226" s="793"/>
      <c r="AF226" s="807">
        <v>1215.3599999999999</v>
      </c>
      <c r="AG226" s="785"/>
      <c r="AH226" s="793"/>
      <c r="AI226" s="807">
        <v>325.36</v>
      </c>
      <c r="AJ226" s="785"/>
      <c r="AK226" s="793"/>
      <c r="AL226" s="807">
        <v>369.91</v>
      </c>
      <c r="AM226" s="785"/>
      <c r="AN226" s="793"/>
      <c r="AO226" s="807">
        <v>561.94000000000005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25">
      <c r="A227" s="540" t="str">
        <f t="shared" si="4"/>
        <v>ServiceFormation</v>
      </c>
      <c r="B227" s="550" t="s">
        <v>130</v>
      </c>
      <c r="C227" s="785"/>
      <c r="D227" s="793"/>
      <c r="E227" s="807">
        <v>12190.840000000002</v>
      </c>
      <c r="F227" s="785"/>
      <c r="G227" s="793"/>
      <c r="H227" s="807">
        <v>658.16</v>
      </c>
      <c r="I227" s="785"/>
      <c r="J227" s="793"/>
      <c r="K227" s="807">
        <v>2000.82</v>
      </c>
      <c r="L227" s="785"/>
      <c r="M227" s="793"/>
      <c r="N227" s="807">
        <v>350.05</v>
      </c>
      <c r="O227" s="785"/>
      <c r="P227" s="793"/>
      <c r="Q227" s="807">
        <v>147.12</v>
      </c>
      <c r="R227" s="785"/>
      <c r="S227" s="793"/>
      <c r="T227" s="807">
        <v>3325.27</v>
      </c>
      <c r="U227" s="785"/>
      <c r="V227" s="793"/>
      <c r="W227" s="807">
        <v>1291.02</v>
      </c>
      <c r="X227" s="785"/>
      <c r="Y227" s="793"/>
      <c r="Z227" s="807">
        <v>251.7</v>
      </c>
      <c r="AA227" s="785"/>
      <c r="AB227" s="793"/>
      <c r="AC227" s="807">
        <v>487.49</v>
      </c>
      <c r="AD227" s="785"/>
      <c r="AE227" s="793"/>
      <c r="AF227" s="807">
        <v>459.54</v>
      </c>
      <c r="AG227" s="785"/>
      <c r="AH227" s="793"/>
      <c r="AI227" s="807">
        <v>2267.9299999999998</v>
      </c>
      <c r="AJ227" s="785"/>
      <c r="AK227" s="793"/>
      <c r="AL227" s="807">
        <v>1253.26</v>
      </c>
      <c r="AM227" s="785"/>
      <c r="AN227" s="793"/>
      <c r="AO227" s="807">
        <v>-301.52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25">
      <c r="A228" s="540" t="str">
        <f t="shared" si="4"/>
        <v>ServiceFrais bancaires</v>
      </c>
      <c r="B228" s="550" t="s">
        <v>131</v>
      </c>
      <c r="C228" s="785"/>
      <c r="D228" s="793"/>
      <c r="E228" s="807">
        <v>18079.160000000003</v>
      </c>
      <c r="F228" s="785"/>
      <c r="G228" s="793"/>
      <c r="H228" s="807">
        <v>790.6</v>
      </c>
      <c r="I228" s="785"/>
      <c r="J228" s="793"/>
      <c r="K228" s="807">
        <v>821.23</v>
      </c>
      <c r="L228" s="785"/>
      <c r="M228" s="793"/>
      <c r="N228" s="807">
        <v>1375.18</v>
      </c>
      <c r="O228" s="785"/>
      <c r="P228" s="793"/>
      <c r="Q228" s="807">
        <v>2194.0300000000002</v>
      </c>
      <c r="R228" s="785"/>
      <c r="S228" s="793"/>
      <c r="T228" s="807">
        <v>2054.54</v>
      </c>
      <c r="U228" s="785"/>
      <c r="V228" s="793"/>
      <c r="W228" s="807">
        <v>1230.82</v>
      </c>
      <c r="X228" s="785"/>
      <c r="Y228" s="793"/>
      <c r="Z228" s="807">
        <v>1496.88</v>
      </c>
      <c r="AA228" s="785"/>
      <c r="AB228" s="793"/>
      <c r="AC228" s="807">
        <v>998.88</v>
      </c>
      <c r="AD228" s="785"/>
      <c r="AE228" s="793"/>
      <c r="AF228" s="807">
        <v>1332.37</v>
      </c>
      <c r="AG228" s="785"/>
      <c r="AH228" s="793"/>
      <c r="AI228" s="807">
        <v>1974.28</v>
      </c>
      <c r="AJ228" s="785"/>
      <c r="AK228" s="793"/>
      <c r="AL228" s="807">
        <v>2394.5300000000002</v>
      </c>
      <c r="AM228" s="785"/>
      <c r="AN228" s="793"/>
      <c r="AO228" s="807">
        <v>1415.82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0.25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0.35447280570913003</v>
      </c>
      <c r="E232" s="814">
        <v>390974.92999999993</v>
      </c>
      <c r="F232" s="812" t="s">
        <v>162</v>
      </c>
      <c r="G232" s="813">
        <v>0</v>
      </c>
      <c r="H232" s="814">
        <v>24650.6</v>
      </c>
      <c r="I232" s="812" t="s">
        <v>162</v>
      </c>
      <c r="J232" s="813">
        <v>0</v>
      </c>
      <c r="K232" s="814">
        <v>26603.229999999996</v>
      </c>
      <c r="L232" s="812" t="s">
        <v>162</v>
      </c>
      <c r="M232" s="813">
        <v>0</v>
      </c>
      <c r="N232" s="814">
        <v>28481.12999999999</v>
      </c>
      <c r="O232" s="812" t="s">
        <v>162</v>
      </c>
      <c r="P232" s="813">
        <v>0</v>
      </c>
      <c r="Q232" s="814">
        <v>30809.479999999996</v>
      </c>
      <c r="R232" s="812" t="s">
        <v>162</v>
      </c>
      <c r="S232" s="813">
        <v>0</v>
      </c>
      <c r="T232" s="814">
        <v>36916.80999999999</v>
      </c>
      <c r="U232" s="812" t="s">
        <v>162</v>
      </c>
      <c r="V232" s="813">
        <v>0</v>
      </c>
      <c r="W232" s="814">
        <v>30431.500000000004</v>
      </c>
      <c r="X232" s="812" t="s">
        <v>162</v>
      </c>
      <c r="Y232" s="813">
        <v>0</v>
      </c>
      <c r="Z232" s="814">
        <v>32863.439999999995</v>
      </c>
      <c r="AA232" s="812" t="s">
        <v>162</v>
      </c>
      <c r="AB232" s="813">
        <v>0</v>
      </c>
      <c r="AC232" s="814">
        <v>28399.180000000004</v>
      </c>
      <c r="AD232" s="812" t="s">
        <v>162</v>
      </c>
      <c r="AE232" s="813">
        <v>0</v>
      </c>
      <c r="AF232" s="814">
        <v>28921.670000000006</v>
      </c>
      <c r="AG232" s="812" t="s">
        <v>162</v>
      </c>
      <c r="AH232" s="813">
        <v>0</v>
      </c>
      <c r="AI232" s="814">
        <v>38755.129999999997</v>
      </c>
      <c r="AJ232" s="812" t="s">
        <v>162</v>
      </c>
      <c r="AK232" s="813">
        <v>0</v>
      </c>
      <c r="AL232" s="814">
        <v>47600.25</v>
      </c>
      <c r="AM232" s="812" t="s">
        <v>162</v>
      </c>
      <c r="AN232" s="813">
        <v>0</v>
      </c>
      <c r="AO232" s="814">
        <v>36542.51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25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0.25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0.94963739957270765</v>
      </c>
      <c r="E234" s="823">
        <v>1047427.0799999998</v>
      </c>
      <c r="F234" s="812" t="s">
        <v>108</v>
      </c>
      <c r="G234" s="850">
        <v>0</v>
      </c>
      <c r="H234" s="823">
        <v>73963.94</v>
      </c>
      <c r="I234" s="812" t="s">
        <v>108</v>
      </c>
      <c r="J234" s="850">
        <v>0</v>
      </c>
      <c r="K234" s="823">
        <v>71442.489999999991</v>
      </c>
      <c r="L234" s="812" t="s">
        <v>108</v>
      </c>
      <c r="M234" s="850">
        <v>0</v>
      </c>
      <c r="N234" s="823">
        <v>75766.00999999998</v>
      </c>
      <c r="O234" s="812" t="s">
        <v>108</v>
      </c>
      <c r="P234" s="850">
        <v>0</v>
      </c>
      <c r="Q234" s="823">
        <v>83384.159999999989</v>
      </c>
      <c r="R234" s="812" t="s">
        <v>108</v>
      </c>
      <c r="S234" s="850">
        <v>0</v>
      </c>
      <c r="T234" s="823">
        <v>103645.9</v>
      </c>
      <c r="U234" s="812" t="s">
        <v>108</v>
      </c>
      <c r="V234" s="850">
        <v>0</v>
      </c>
      <c r="W234" s="823">
        <v>80720.88</v>
      </c>
      <c r="X234" s="812" t="s">
        <v>108</v>
      </c>
      <c r="Y234" s="850">
        <v>0</v>
      </c>
      <c r="Z234" s="823">
        <v>84116.18</v>
      </c>
      <c r="AA234" s="812" t="s">
        <v>108</v>
      </c>
      <c r="AB234" s="850">
        <v>0</v>
      </c>
      <c r="AC234" s="823">
        <v>68990.98000000001</v>
      </c>
      <c r="AD234" s="812" t="s">
        <v>108</v>
      </c>
      <c r="AE234" s="850">
        <v>0</v>
      </c>
      <c r="AF234" s="823">
        <v>80125.33</v>
      </c>
      <c r="AG234" s="812" t="s">
        <v>108</v>
      </c>
      <c r="AH234" s="850">
        <v>0</v>
      </c>
      <c r="AI234" s="823">
        <v>109609.23000000001</v>
      </c>
      <c r="AJ234" s="812" t="s">
        <v>108</v>
      </c>
      <c r="AK234" s="850">
        <v>0</v>
      </c>
      <c r="AL234" s="823">
        <v>111681.87</v>
      </c>
      <c r="AM234" s="812" t="s">
        <v>108</v>
      </c>
      <c r="AN234" s="850">
        <v>0</v>
      </c>
      <c r="AO234" s="823">
        <v>103980.11000000002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25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55548.72999999905</v>
      </c>
      <c r="F236" s="851"/>
      <c r="G236" s="852"/>
      <c r="H236" s="832">
        <v>-20658.510000000206</v>
      </c>
      <c r="I236" s="851"/>
      <c r="J236" s="852"/>
      <c r="K236" s="832">
        <v>-14771.629999999983</v>
      </c>
      <c r="L236" s="851"/>
      <c r="M236" s="852"/>
      <c r="N236" s="832">
        <v>-17247.149999999987</v>
      </c>
      <c r="O236" s="851"/>
      <c r="P236" s="852"/>
      <c r="Q236" s="832">
        <v>26614.960000000006</v>
      </c>
      <c r="R236" s="851"/>
      <c r="S236" s="852"/>
      <c r="T236" s="832">
        <v>38184.539999999921</v>
      </c>
      <c r="U236" s="851"/>
      <c r="V236" s="852"/>
      <c r="W236" s="832">
        <v>1260.8499999999913</v>
      </c>
      <c r="X236" s="851"/>
      <c r="Y236" s="852"/>
      <c r="Z236" s="832">
        <v>22063.639999999912</v>
      </c>
      <c r="AA236" s="851"/>
      <c r="AB236" s="852"/>
      <c r="AC236" s="832">
        <v>12651.609999999986</v>
      </c>
      <c r="AD236" s="851"/>
      <c r="AE236" s="852"/>
      <c r="AF236" s="832">
        <v>-4553.0800000002055</v>
      </c>
      <c r="AG236" s="851"/>
      <c r="AH236" s="852"/>
      <c r="AI236" s="832">
        <v>18860.549999999974</v>
      </c>
      <c r="AJ236" s="851"/>
      <c r="AK236" s="852"/>
      <c r="AL236" s="832">
        <v>24870.709999999701</v>
      </c>
      <c r="AM236" s="851"/>
      <c r="AN236" s="852"/>
      <c r="AO236" s="832">
        <v>-31727.760000000009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25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25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25">
      <c r="A239" s="540"/>
      <c r="B239" s="618" t="s">
        <v>2812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" thickTop="1">
      <c r="A241" s="540"/>
      <c r="B241" s="658" t="s">
        <v>293</v>
      </c>
      <c r="C241" s="768">
        <v>2024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25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25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25">
      <c r="A244" s="540" t="str">
        <f t="shared" si="5"/>
        <v>CarrosserieM/O Sous-traitement</v>
      </c>
      <c r="B244" s="550" t="s">
        <v>164</v>
      </c>
      <c r="C244" s="854">
        <v>93</v>
      </c>
      <c r="D244" s="855">
        <v>29658.19</v>
      </c>
      <c r="E244" s="807">
        <v>4480.2499999999936</v>
      </c>
      <c r="F244" s="854">
        <v>5</v>
      </c>
      <c r="G244" s="855">
        <v>877.3</v>
      </c>
      <c r="H244" s="807">
        <v>156.29999999999899</v>
      </c>
      <c r="I244" s="854">
        <v>5</v>
      </c>
      <c r="J244" s="855">
        <v>2735.36</v>
      </c>
      <c r="K244" s="807">
        <v>203.47</v>
      </c>
      <c r="L244" s="854">
        <v>8</v>
      </c>
      <c r="M244" s="855">
        <v>1918.38</v>
      </c>
      <c r="N244" s="807">
        <v>131.49</v>
      </c>
      <c r="O244" s="854">
        <v>1</v>
      </c>
      <c r="P244" s="855">
        <v>349.28</v>
      </c>
      <c r="Q244" s="807">
        <v>33.75</v>
      </c>
      <c r="R244" s="854">
        <v>16</v>
      </c>
      <c r="S244" s="855">
        <v>7000.57</v>
      </c>
      <c r="T244" s="807">
        <v>827.80999999999904</v>
      </c>
      <c r="U244" s="854">
        <v>5</v>
      </c>
      <c r="V244" s="855">
        <v>1103.3</v>
      </c>
      <c r="W244" s="807">
        <v>167.969999999999</v>
      </c>
      <c r="X244" s="854">
        <v>6</v>
      </c>
      <c r="Y244" s="855">
        <v>567.51</v>
      </c>
      <c r="Z244" s="807">
        <v>132.01999999999899</v>
      </c>
      <c r="AA244" s="854">
        <v>13</v>
      </c>
      <c r="AB244" s="855">
        <v>2563.25</v>
      </c>
      <c r="AC244" s="807">
        <v>356.73999999999899</v>
      </c>
      <c r="AD244" s="854">
        <v>4</v>
      </c>
      <c r="AE244" s="855">
        <v>1126.9000000000001</v>
      </c>
      <c r="AF244" s="807">
        <v>774.64</v>
      </c>
      <c r="AG244" s="854">
        <v>12</v>
      </c>
      <c r="AH244" s="855">
        <v>6515.27</v>
      </c>
      <c r="AI244" s="807">
        <v>688.94</v>
      </c>
      <c r="AJ244" s="854">
        <v>15</v>
      </c>
      <c r="AK244" s="855">
        <v>3725.96</v>
      </c>
      <c r="AL244" s="807">
        <v>905.42</v>
      </c>
      <c r="AM244" s="854">
        <v>3</v>
      </c>
      <c r="AN244" s="855">
        <v>1175.1099999999999</v>
      </c>
      <c r="AO244" s="807">
        <v>101.69999999999899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25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0.15106282615358502</v>
      </c>
      <c r="F245" s="856"/>
      <c r="G245" s="793"/>
      <c r="H245" s="857">
        <v>0.17816026444773622</v>
      </c>
      <c r="I245" s="856"/>
      <c r="J245" s="793"/>
      <c r="K245" s="857">
        <v>7.438509007955077E-2</v>
      </c>
      <c r="L245" s="856"/>
      <c r="M245" s="793"/>
      <c r="N245" s="857">
        <v>6.8542207487567633E-2</v>
      </c>
      <c r="O245" s="856"/>
      <c r="P245" s="793"/>
      <c r="Q245" s="857">
        <v>9.6627347686669723E-2</v>
      </c>
      <c r="R245" s="856"/>
      <c r="S245" s="793"/>
      <c r="T245" s="857">
        <v>0.11824894258610356</v>
      </c>
      <c r="U245" s="856"/>
      <c r="V245" s="793"/>
      <c r="W245" s="857">
        <v>0.15224327018943082</v>
      </c>
      <c r="X245" s="856"/>
      <c r="Y245" s="793"/>
      <c r="Z245" s="857">
        <v>0.23263026202181281</v>
      </c>
      <c r="AA245" s="856"/>
      <c r="AB245" s="793"/>
      <c r="AC245" s="857">
        <v>0.13917487564615194</v>
      </c>
      <c r="AD245" s="856"/>
      <c r="AE245" s="793"/>
      <c r="AF245" s="857">
        <v>0.687407933268258</v>
      </c>
      <c r="AG245" s="856"/>
      <c r="AH245" s="793"/>
      <c r="AI245" s="857">
        <v>0.10574235603436236</v>
      </c>
      <c r="AJ245" s="856"/>
      <c r="AK245" s="793"/>
      <c r="AL245" s="857">
        <v>0.24300314549807298</v>
      </c>
      <c r="AM245" s="856"/>
      <c r="AN245" s="793"/>
      <c r="AO245" s="857">
        <v>8.6545089395885497E-2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25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25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>
        <v>0</v>
      </c>
      <c r="G247" s="862">
        <v>0</v>
      </c>
      <c r="H247" s="817">
        <v>0</v>
      </c>
      <c r="I247" s="861">
        <v>0</v>
      </c>
      <c r="J247" s="862">
        <v>0</v>
      </c>
      <c r="K247" s="817">
        <v>0</v>
      </c>
      <c r="L247" s="861">
        <v>0</v>
      </c>
      <c r="M247" s="862">
        <v>0</v>
      </c>
      <c r="N247" s="817">
        <v>0</v>
      </c>
      <c r="O247" s="861">
        <v>0</v>
      </c>
      <c r="P247" s="862">
        <v>0</v>
      </c>
      <c r="Q247" s="817">
        <v>0</v>
      </c>
      <c r="R247" s="861">
        <v>0</v>
      </c>
      <c r="S247" s="862">
        <v>0</v>
      </c>
      <c r="T247" s="817">
        <v>0</v>
      </c>
      <c r="U247" s="861">
        <v>0</v>
      </c>
      <c r="V247" s="862">
        <v>0</v>
      </c>
      <c r="W247" s="817">
        <v>0</v>
      </c>
      <c r="X247" s="861">
        <v>0</v>
      </c>
      <c r="Y247" s="862">
        <v>0</v>
      </c>
      <c r="Z247" s="817">
        <v>0</v>
      </c>
      <c r="AA247" s="861">
        <v>0</v>
      </c>
      <c r="AB247" s="862">
        <v>0</v>
      </c>
      <c r="AC247" s="817">
        <v>0</v>
      </c>
      <c r="AD247" s="861">
        <v>0</v>
      </c>
      <c r="AE247" s="862">
        <v>0</v>
      </c>
      <c r="AF247" s="817">
        <v>0</v>
      </c>
      <c r="AG247" s="861">
        <v>0</v>
      </c>
      <c r="AH247" s="862">
        <v>0</v>
      </c>
      <c r="AI247" s="817">
        <v>0</v>
      </c>
      <c r="AJ247" s="861">
        <v>0</v>
      </c>
      <c r="AK247" s="862">
        <v>0</v>
      </c>
      <c r="AL247" s="817">
        <v>0</v>
      </c>
      <c r="AM247" s="861">
        <v>0</v>
      </c>
      <c r="AN247" s="862">
        <v>0</v>
      </c>
      <c r="AO247" s="817">
        <v>0</v>
      </c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25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25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25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>
        <v>0</v>
      </c>
      <c r="G250" s="862">
        <v>0</v>
      </c>
      <c r="H250" s="817">
        <v>0</v>
      </c>
      <c r="I250" s="861">
        <v>0</v>
      </c>
      <c r="J250" s="862">
        <v>0</v>
      </c>
      <c r="K250" s="817">
        <v>0</v>
      </c>
      <c r="L250" s="861">
        <v>0</v>
      </c>
      <c r="M250" s="862">
        <v>0</v>
      </c>
      <c r="N250" s="817">
        <v>0</v>
      </c>
      <c r="O250" s="861">
        <v>0</v>
      </c>
      <c r="P250" s="862">
        <v>0</v>
      </c>
      <c r="Q250" s="817">
        <v>0</v>
      </c>
      <c r="R250" s="861">
        <v>0</v>
      </c>
      <c r="S250" s="862">
        <v>0</v>
      </c>
      <c r="T250" s="817">
        <v>0</v>
      </c>
      <c r="U250" s="861">
        <v>0</v>
      </c>
      <c r="V250" s="862">
        <v>0</v>
      </c>
      <c r="W250" s="817">
        <v>0</v>
      </c>
      <c r="X250" s="861">
        <v>0</v>
      </c>
      <c r="Y250" s="862">
        <v>0</v>
      </c>
      <c r="Z250" s="817">
        <v>0</v>
      </c>
      <c r="AA250" s="861">
        <v>0</v>
      </c>
      <c r="AB250" s="862">
        <v>0</v>
      </c>
      <c r="AC250" s="817">
        <v>0</v>
      </c>
      <c r="AD250" s="861">
        <v>0</v>
      </c>
      <c r="AE250" s="862">
        <v>0</v>
      </c>
      <c r="AF250" s="817">
        <v>0</v>
      </c>
      <c r="AG250" s="861">
        <v>0</v>
      </c>
      <c r="AH250" s="862">
        <v>0</v>
      </c>
      <c r="AI250" s="817">
        <v>0</v>
      </c>
      <c r="AJ250" s="861">
        <v>0</v>
      </c>
      <c r="AK250" s="862">
        <v>0</v>
      </c>
      <c r="AL250" s="817">
        <v>0</v>
      </c>
      <c r="AM250" s="861">
        <v>0</v>
      </c>
      <c r="AN250" s="862">
        <v>0</v>
      </c>
      <c r="AO250" s="817">
        <v>0</v>
      </c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25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" thickTop="1">
      <c r="A253" s="540" t="str">
        <f t="shared" si="5"/>
        <v>CarrosserieTotal Mécanique</v>
      </c>
      <c r="B253" s="606" t="s">
        <v>161</v>
      </c>
      <c r="C253" s="795"/>
      <c r="D253" s="882">
        <v>29658.19</v>
      </c>
      <c r="E253" s="797">
        <v>4480.2499999999936</v>
      </c>
      <c r="F253" s="795"/>
      <c r="G253" s="882">
        <v>877.3</v>
      </c>
      <c r="H253" s="797">
        <v>156.29999999999899</v>
      </c>
      <c r="I253" s="795"/>
      <c r="J253" s="882">
        <v>2735.36</v>
      </c>
      <c r="K253" s="797">
        <v>203.47</v>
      </c>
      <c r="L253" s="795"/>
      <c r="M253" s="882">
        <v>1918.38</v>
      </c>
      <c r="N253" s="797">
        <v>131.49</v>
      </c>
      <c r="O253" s="795"/>
      <c r="P253" s="882">
        <v>349.28</v>
      </c>
      <c r="Q253" s="797">
        <v>33.75</v>
      </c>
      <c r="R253" s="795"/>
      <c r="S253" s="882">
        <v>7000.57</v>
      </c>
      <c r="T253" s="797">
        <v>827.80999999999904</v>
      </c>
      <c r="U253" s="795"/>
      <c r="V253" s="882">
        <v>1103.3</v>
      </c>
      <c r="W253" s="797">
        <v>167.969999999999</v>
      </c>
      <c r="X253" s="795"/>
      <c r="Y253" s="882">
        <v>567.51</v>
      </c>
      <c r="Z253" s="797">
        <v>132.01999999999899</v>
      </c>
      <c r="AA253" s="795"/>
      <c r="AB253" s="882">
        <v>2563.25</v>
      </c>
      <c r="AC253" s="797">
        <v>356.73999999999899</v>
      </c>
      <c r="AD253" s="795"/>
      <c r="AE253" s="882">
        <v>1126.9000000000001</v>
      </c>
      <c r="AF253" s="797">
        <v>774.64</v>
      </c>
      <c r="AG253" s="795"/>
      <c r="AH253" s="882">
        <v>6515.27</v>
      </c>
      <c r="AI253" s="797">
        <v>688.94</v>
      </c>
      <c r="AJ253" s="795"/>
      <c r="AK253" s="882">
        <v>3725.96</v>
      </c>
      <c r="AL253" s="797">
        <v>905.42</v>
      </c>
      <c r="AM253" s="795"/>
      <c r="AN253" s="882">
        <v>1175.1099999999999</v>
      </c>
      <c r="AO253" s="797">
        <v>101.69999999999899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" thickBot="1">
      <c r="A254" s="540" t="str">
        <f t="shared" si="5"/>
        <v>Carrosserie</v>
      </c>
      <c r="B254" s="607"/>
      <c r="C254" s="798"/>
      <c r="D254" s="799"/>
      <c r="E254" s="883">
        <v>0.15106282615358502</v>
      </c>
      <c r="F254" s="798"/>
      <c r="G254" s="799"/>
      <c r="H254" s="883">
        <v>0.17816026444773622</v>
      </c>
      <c r="I254" s="798"/>
      <c r="J254" s="799"/>
      <c r="K254" s="883">
        <v>7.438509007955077E-2</v>
      </c>
      <c r="L254" s="798"/>
      <c r="M254" s="799"/>
      <c r="N254" s="883">
        <v>6.8542207487567633E-2</v>
      </c>
      <c r="O254" s="798"/>
      <c r="P254" s="799"/>
      <c r="Q254" s="883">
        <v>9.6627347686669723E-2</v>
      </c>
      <c r="R254" s="798"/>
      <c r="S254" s="799"/>
      <c r="T254" s="883">
        <v>0.11824894258610356</v>
      </c>
      <c r="U254" s="798"/>
      <c r="V254" s="799"/>
      <c r="W254" s="883">
        <v>0.15224327018943082</v>
      </c>
      <c r="X254" s="798"/>
      <c r="Y254" s="799"/>
      <c r="Z254" s="883">
        <v>0.23263026202181281</v>
      </c>
      <c r="AA254" s="798"/>
      <c r="AB254" s="799"/>
      <c r="AC254" s="883">
        <v>0.13917487564615194</v>
      </c>
      <c r="AD254" s="798"/>
      <c r="AE254" s="799"/>
      <c r="AF254" s="883">
        <v>0.687407933268258</v>
      </c>
      <c r="AG254" s="798"/>
      <c r="AH254" s="799"/>
      <c r="AI254" s="883">
        <v>0.10574235603436236</v>
      </c>
      <c r="AJ254" s="798"/>
      <c r="AK254" s="799"/>
      <c r="AL254" s="883">
        <v>0.24300314549807298</v>
      </c>
      <c r="AM254" s="798"/>
      <c r="AN254" s="799"/>
      <c r="AO254" s="883">
        <v>8.6545089395885497E-2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0.25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25">
      <c r="A257" s="540" t="str">
        <f t="shared" si="5"/>
        <v>CarrosserieSalaires cadres</v>
      </c>
      <c r="B257" s="626" t="s">
        <v>109</v>
      </c>
      <c r="C257" s="785"/>
      <c r="D257" s="793"/>
      <c r="E257" s="807">
        <v>3651.24</v>
      </c>
      <c r="F257" s="785"/>
      <c r="G257" s="793"/>
      <c r="H257" s="807">
        <v>304.27</v>
      </c>
      <c r="I257" s="785"/>
      <c r="J257" s="793"/>
      <c r="K257" s="807">
        <v>304.27</v>
      </c>
      <c r="L257" s="785"/>
      <c r="M257" s="793"/>
      <c r="N257" s="807">
        <v>304.27</v>
      </c>
      <c r="O257" s="785"/>
      <c r="P257" s="793"/>
      <c r="Q257" s="807">
        <v>304.27</v>
      </c>
      <c r="R257" s="785"/>
      <c r="S257" s="793"/>
      <c r="T257" s="807">
        <v>304.27</v>
      </c>
      <c r="U257" s="785"/>
      <c r="V257" s="793"/>
      <c r="W257" s="807">
        <v>304.27</v>
      </c>
      <c r="X257" s="785"/>
      <c r="Y257" s="793"/>
      <c r="Z257" s="807">
        <v>304.27</v>
      </c>
      <c r="AA257" s="785"/>
      <c r="AB257" s="793"/>
      <c r="AC257" s="807">
        <v>304.27</v>
      </c>
      <c r="AD257" s="785"/>
      <c r="AE257" s="793"/>
      <c r="AF257" s="807">
        <v>304.27</v>
      </c>
      <c r="AG257" s="785"/>
      <c r="AH257" s="793"/>
      <c r="AI257" s="807">
        <v>304.27</v>
      </c>
      <c r="AJ257" s="785"/>
      <c r="AK257" s="793"/>
      <c r="AL257" s="807">
        <v>304.27</v>
      </c>
      <c r="AM257" s="785"/>
      <c r="AN257" s="793"/>
      <c r="AO257" s="807">
        <v>304.27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25">
      <c r="A258" s="540" t="str">
        <f t="shared" si="5"/>
        <v>CarrosserieSalaires commis</v>
      </c>
      <c r="B258" s="629" t="s">
        <v>110</v>
      </c>
      <c r="C258" s="785"/>
      <c r="D258" s="793"/>
      <c r="E258" s="807">
        <v>4059.8799999999997</v>
      </c>
      <c r="F258" s="785"/>
      <c r="G258" s="793"/>
      <c r="H258" s="807">
        <v>280.39999999999998</v>
      </c>
      <c r="I258" s="785"/>
      <c r="J258" s="793"/>
      <c r="K258" s="807">
        <v>351.64</v>
      </c>
      <c r="L258" s="785"/>
      <c r="M258" s="793"/>
      <c r="N258" s="807">
        <v>320.23</v>
      </c>
      <c r="O258" s="785"/>
      <c r="P258" s="793"/>
      <c r="Q258" s="807">
        <v>301.39</v>
      </c>
      <c r="R258" s="785"/>
      <c r="S258" s="793"/>
      <c r="T258" s="807">
        <v>394.45</v>
      </c>
      <c r="U258" s="785"/>
      <c r="V258" s="793"/>
      <c r="W258" s="807">
        <v>340.43</v>
      </c>
      <c r="X258" s="785"/>
      <c r="Y258" s="793"/>
      <c r="Z258" s="807">
        <v>321.19</v>
      </c>
      <c r="AA258" s="785"/>
      <c r="AB258" s="793"/>
      <c r="AC258" s="807">
        <v>323.39999999999998</v>
      </c>
      <c r="AD258" s="785"/>
      <c r="AE258" s="793"/>
      <c r="AF258" s="807">
        <v>357.43</v>
      </c>
      <c r="AG258" s="785"/>
      <c r="AH258" s="793"/>
      <c r="AI258" s="807">
        <v>378.45</v>
      </c>
      <c r="AJ258" s="785"/>
      <c r="AK258" s="793"/>
      <c r="AL258" s="807">
        <v>351.44</v>
      </c>
      <c r="AM258" s="785"/>
      <c r="AN258" s="793"/>
      <c r="AO258" s="807">
        <v>339.43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25">
      <c r="A259" s="540" t="str">
        <f t="shared" si="5"/>
        <v>CarrosserieSalaires autres</v>
      </c>
      <c r="B259" s="626" t="s">
        <v>111</v>
      </c>
      <c r="C259" s="815"/>
      <c r="D259" s="816"/>
      <c r="E259" s="817">
        <v>228</v>
      </c>
      <c r="F259" s="815"/>
      <c r="G259" s="816"/>
      <c r="H259" s="817">
        <v>19</v>
      </c>
      <c r="I259" s="815"/>
      <c r="J259" s="816"/>
      <c r="K259" s="817">
        <v>19</v>
      </c>
      <c r="L259" s="815"/>
      <c r="M259" s="816"/>
      <c r="N259" s="817">
        <v>19</v>
      </c>
      <c r="O259" s="815"/>
      <c r="P259" s="816"/>
      <c r="Q259" s="817">
        <v>19</v>
      </c>
      <c r="R259" s="815"/>
      <c r="S259" s="816"/>
      <c r="T259" s="817">
        <v>19</v>
      </c>
      <c r="U259" s="815"/>
      <c r="V259" s="816"/>
      <c r="W259" s="817">
        <v>19</v>
      </c>
      <c r="X259" s="815"/>
      <c r="Y259" s="816"/>
      <c r="Z259" s="817">
        <v>19</v>
      </c>
      <c r="AA259" s="815"/>
      <c r="AB259" s="816"/>
      <c r="AC259" s="817">
        <v>19</v>
      </c>
      <c r="AD259" s="815"/>
      <c r="AE259" s="816"/>
      <c r="AF259" s="817">
        <v>19</v>
      </c>
      <c r="AG259" s="815"/>
      <c r="AH259" s="816"/>
      <c r="AI259" s="817">
        <v>19</v>
      </c>
      <c r="AJ259" s="815"/>
      <c r="AK259" s="816"/>
      <c r="AL259" s="817">
        <v>19</v>
      </c>
      <c r="AM259" s="815"/>
      <c r="AN259" s="816"/>
      <c r="AO259" s="817">
        <v>19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25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/>
      <c r="I261" s="785"/>
      <c r="J261" s="793"/>
      <c r="K261" s="807"/>
      <c r="L261" s="785"/>
      <c r="M261" s="793"/>
      <c r="N261" s="807"/>
      <c r="O261" s="785"/>
      <c r="P261" s="793"/>
      <c r="Q261" s="807"/>
      <c r="R261" s="785"/>
      <c r="S261" s="793"/>
      <c r="T261" s="807"/>
      <c r="U261" s="785"/>
      <c r="V261" s="793"/>
      <c r="W261" s="807"/>
      <c r="X261" s="785"/>
      <c r="Y261" s="793"/>
      <c r="Z261" s="807"/>
      <c r="AA261" s="785"/>
      <c r="AB261" s="793"/>
      <c r="AC261" s="807"/>
      <c r="AD261" s="785"/>
      <c r="AE261" s="793"/>
      <c r="AF261" s="807"/>
      <c r="AG261" s="785"/>
      <c r="AH261" s="793"/>
      <c r="AI261" s="807"/>
      <c r="AJ261" s="785"/>
      <c r="AK261" s="793"/>
      <c r="AL261" s="807"/>
      <c r="AM261" s="785"/>
      <c r="AN261" s="793"/>
      <c r="AO261" s="807"/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25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1205.1300000000001</v>
      </c>
      <c r="F264" s="785"/>
      <c r="G264" s="793"/>
      <c r="H264" s="807">
        <v>57.36</v>
      </c>
      <c r="I264" s="785"/>
      <c r="J264" s="793"/>
      <c r="K264" s="807">
        <v>260.98</v>
      </c>
      <c r="L264" s="785"/>
      <c r="M264" s="793"/>
      <c r="N264" s="807">
        <v>46.13</v>
      </c>
      <c r="O264" s="785"/>
      <c r="P264" s="793"/>
      <c r="Q264" s="807">
        <v>55.04</v>
      </c>
      <c r="R264" s="785"/>
      <c r="S264" s="793"/>
      <c r="T264" s="807">
        <v>95.24</v>
      </c>
      <c r="U264" s="785"/>
      <c r="V264" s="793"/>
      <c r="W264" s="807">
        <v>78.34</v>
      </c>
      <c r="X264" s="785"/>
      <c r="Y264" s="793"/>
      <c r="Z264" s="807">
        <v>52.3</v>
      </c>
      <c r="AA264" s="785"/>
      <c r="AB264" s="793"/>
      <c r="AC264" s="807">
        <v>137.97</v>
      </c>
      <c r="AD264" s="785"/>
      <c r="AE264" s="793"/>
      <c r="AF264" s="807">
        <v>127</v>
      </c>
      <c r="AG264" s="785"/>
      <c r="AH264" s="793"/>
      <c r="AI264" s="807">
        <v>51.12</v>
      </c>
      <c r="AJ264" s="785"/>
      <c r="AK264" s="793"/>
      <c r="AL264" s="807">
        <v>185.86</v>
      </c>
      <c r="AM264" s="785"/>
      <c r="AN264" s="793"/>
      <c r="AO264" s="807">
        <v>57.79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25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3258.4599999999996</v>
      </c>
      <c r="F265" s="815"/>
      <c r="G265" s="816"/>
      <c r="H265" s="817">
        <v>248.64</v>
      </c>
      <c r="I265" s="815"/>
      <c r="J265" s="816"/>
      <c r="K265" s="817">
        <v>834.69</v>
      </c>
      <c r="L265" s="815"/>
      <c r="M265" s="816"/>
      <c r="N265" s="817">
        <v>214.39</v>
      </c>
      <c r="O265" s="815"/>
      <c r="P265" s="816"/>
      <c r="Q265" s="817">
        <v>219</v>
      </c>
      <c r="R265" s="815"/>
      <c r="S265" s="816"/>
      <c r="T265" s="817">
        <v>220.92</v>
      </c>
      <c r="U265" s="815"/>
      <c r="V265" s="816"/>
      <c r="W265" s="817">
        <v>213.89</v>
      </c>
      <c r="X265" s="815"/>
      <c r="Y265" s="816"/>
      <c r="Z265" s="817">
        <v>220.64</v>
      </c>
      <c r="AA265" s="815"/>
      <c r="AB265" s="816"/>
      <c r="AC265" s="817">
        <v>221.21</v>
      </c>
      <c r="AD265" s="815"/>
      <c r="AE265" s="816"/>
      <c r="AF265" s="817">
        <v>215.66</v>
      </c>
      <c r="AG265" s="815"/>
      <c r="AH265" s="816"/>
      <c r="AI265" s="817">
        <v>219.11</v>
      </c>
      <c r="AJ265" s="815"/>
      <c r="AK265" s="816"/>
      <c r="AL265" s="817">
        <v>216.21</v>
      </c>
      <c r="AM265" s="815"/>
      <c r="AN265" s="816"/>
      <c r="AO265" s="817">
        <v>214.1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25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455.77</v>
      </c>
      <c r="F266" s="785"/>
      <c r="G266" s="793"/>
      <c r="H266" s="807">
        <v>45.34</v>
      </c>
      <c r="I266" s="785"/>
      <c r="J266" s="793"/>
      <c r="K266" s="807">
        <v>106.25</v>
      </c>
      <c r="L266" s="785"/>
      <c r="M266" s="793"/>
      <c r="N266" s="807">
        <v>42.23</v>
      </c>
      <c r="O266" s="785"/>
      <c r="P266" s="793"/>
      <c r="Q266" s="807">
        <v>48.02</v>
      </c>
      <c r="R266" s="785"/>
      <c r="S266" s="793"/>
      <c r="T266" s="807">
        <v>48.46</v>
      </c>
      <c r="U266" s="785"/>
      <c r="V266" s="793"/>
      <c r="W266" s="807">
        <v>3.82</v>
      </c>
      <c r="X266" s="785"/>
      <c r="Y266" s="793"/>
      <c r="Z266" s="807">
        <v>50.78</v>
      </c>
      <c r="AA266" s="785"/>
      <c r="AB266" s="793"/>
      <c r="AC266" s="807">
        <v>49.42</v>
      </c>
      <c r="AD266" s="785"/>
      <c r="AE266" s="793"/>
      <c r="AF266" s="807">
        <v>44.18</v>
      </c>
      <c r="AG266" s="785"/>
      <c r="AH266" s="793"/>
      <c r="AI266" s="807">
        <v>48.07</v>
      </c>
      <c r="AJ266" s="785"/>
      <c r="AK266" s="793"/>
      <c r="AL266" s="807">
        <v>-73.3</v>
      </c>
      <c r="AM266" s="785"/>
      <c r="AN266" s="793"/>
      <c r="AO266" s="807">
        <v>42.5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25">
      <c r="A267" s="540" t="str">
        <f t="shared" si="5"/>
        <v>CarrosserieCsst</v>
      </c>
      <c r="B267" s="626" t="s">
        <v>116</v>
      </c>
      <c r="C267" s="785"/>
      <c r="D267" s="793"/>
      <c r="E267" s="807">
        <v>54.580000000000013</v>
      </c>
      <c r="F267" s="785"/>
      <c r="G267" s="793"/>
      <c r="H267" s="807">
        <v>11.42</v>
      </c>
      <c r="I267" s="785"/>
      <c r="J267" s="793"/>
      <c r="K267" s="807">
        <v>38.03</v>
      </c>
      <c r="L267" s="785"/>
      <c r="M267" s="793"/>
      <c r="N267" s="807">
        <v>4.96</v>
      </c>
      <c r="O267" s="785"/>
      <c r="P267" s="793"/>
      <c r="Q267" s="807">
        <v>14.46</v>
      </c>
      <c r="R267" s="785"/>
      <c r="S267" s="793"/>
      <c r="T267" s="807">
        <v>4.93</v>
      </c>
      <c r="U267" s="785"/>
      <c r="V267" s="793"/>
      <c r="W267" s="807">
        <v>4.3600000000000003</v>
      </c>
      <c r="X267" s="785"/>
      <c r="Y267" s="793"/>
      <c r="Z267" s="807">
        <v>-45.55</v>
      </c>
      <c r="AA267" s="785"/>
      <c r="AB267" s="793"/>
      <c r="AC267" s="807">
        <v>4.9800000000000004</v>
      </c>
      <c r="AD267" s="785"/>
      <c r="AE267" s="793"/>
      <c r="AF267" s="807">
        <v>4.58</v>
      </c>
      <c r="AG267" s="785"/>
      <c r="AH267" s="793"/>
      <c r="AI267" s="807">
        <v>4.8899999999999997</v>
      </c>
      <c r="AJ267" s="785"/>
      <c r="AK267" s="793"/>
      <c r="AL267" s="807">
        <v>3.16</v>
      </c>
      <c r="AM267" s="785"/>
      <c r="AN267" s="793"/>
      <c r="AO267" s="807">
        <v>4.3600000000000003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0.25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12913.06</v>
      </c>
      <c r="F269" s="812" t="s">
        <v>108</v>
      </c>
      <c r="G269" s="813">
        <v>0</v>
      </c>
      <c r="H269" s="814">
        <v>966.43</v>
      </c>
      <c r="I269" s="812" t="s">
        <v>108</v>
      </c>
      <c r="J269" s="813">
        <v>0</v>
      </c>
      <c r="K269" s="814">
        <v>1914.86</v>
      </c>
      <c r="L269" s="812" t="s">
        <v>108</v>
      </c>
      <c r="M269" s="813">
        <v>0</v>
      </c>
      <c r="N269" s="814">
        <v>951.21</v>
      </c>
      <c r="O269" s="812" t="s">
        <v>108</v>
      </c>
      <c r="P269" s="813">
        <v>0</v>
      </c>
      <c r="Q269" s="814">
        <v>961.18</v>
      </c>
      <c r="R269" s="812" t="s">
        <v>108</v>
      </c>
      <c r="S269" s="813">
        <v>0</v>
      </c>
      <c r="T269" s="814">
        <v>1087.2700000000002</v>
      </c>
      <c r="U269" s="812" t="s">
        <v>108</v>
      </c>
      <c r="V269" s="813">
        <v>0</v>
      </c>
      <c r="W269" s="814">
        <v>964.11000000000013</v>
      </c>
      <c r="X269" s="812" t="s">
        <v>108</v>
      </c>
      <c r="Y269" s="813">
        <v>0</v>
      </c>
      <c r="Z269" s="814">
        <v>922.63</v>
      </c>
      <c r="AA269" s="812" t="s">
        <v>108</v>
      </c>
      <c r="AB269" s="813">
        <v>0</v>
      </c>
      <c r="AC269" s="814">
        <v>1060.25</v>
      </c>
      <c r="AD269" s="812" t="s">
        <v>108</v>
      </c>
      <c r="AE269" s="813">
        <v>0</v>
      </c>
      <c r="AF269" s="814">
        <v>1072.1199999999999</v>
      </c>
      <c r="AG269" s="812" t="s">
        <v>108</v>
      </c>
      <c r="AH269" s="813">
        <v>0</v>
      </c>
      <c r="AI269" s="814">
        <v>1024.9100000000001</v>
      </c>
      <c r="AJ269" s="812" t="s">
        <v>108</v>
      </c>
      <c r="AK269" s="813">
        <v>0</v>
      </c>
      <c r="AL269" s="814">
        <v>1006.64</v>
      </c>
      <c r="AM269" s="812" t="s">
        <v>108</v>
      </c>
      <c r="AN269" s="813">
        <v>0</v>
      </c>
      <c r="AO269" s="814">
        <v>981.45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25">
      <c r="A270" s="540" t="str">
        <f t="shared" si="5"/>
        <v>CarrosseriePublicité 2</v>
      </c>
      <c r="B270" s="631" t="s">
        <v>118</v>
      </c>
      <c r="C270" s="785"/>
      <c r="D270" s="793"/>
      <c r="E270" s="807">
        <v>256.23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7.5</v>
      </c>
      <c r="O270" s="785"/>
      <c r="P270" s="793"/>
      <c r="Q270" s="807">
        <v>12.5</v>
      </c>
      <c r="R270" s="785"/>
      <c r="S270" s="793"/>
      <c r="T270" s="807">
        <v>0</v>
      </c>
      <c r="U270" s="785"/>
      <c r="V270" s="793"/>
      <c r="W270" s="807">
        <v>37.5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47.47</v>
      </c>
      <c r="AG270" s="785"/>
      <c r="AH270" s="793"/>
      <c r="AI270" s="807">
        <v>6.5</v>
      </c>
      <c r="AJ270" s="785"/>
      <c r="AK270" s="793"/>
      <c r="AL270" s="807">
        <v>40.76</v>
      </c>
      <c r="AM270" s="785"/>
      <c r="AN270" s="793"/>
      <c r="AO270" s="807">
        <v>104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25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223.74</v>
      </c>
      <c r="F271" s="785"/>
      <c r="G271" s="793"/>
      <c r="H271" s="807">
        <v>22.3</v>
      </c>
      <c r="I271" s="785"/>
      <c r="J271" s="793"/>
      <c r="K271" s="807">
        <v>23.61</v>
      </c>
      <c r="L271" s="785"/>
      <c r="M271" s="793"/>
      <c r="N271" s="807">
        <v>8.06</v>
      </c>
      <c r="O271" s="785"/>
      <c r="P271" s="793"/>
      <c r="Q271" s="807">
        <v>35.700000000000003</v>
      </c>
      <c r="R271" s="785"/>
      <c r="S271" s="793"/>
      <c r="T271" s="807">
        <v>28.14</v>
      </c>
      <c r="U271" s="785"/>
      <c r="V271" s="793"/>
      <c r="W271" s="807">
        <v>8.15</v>
      </c>
      <c r="X271" s="785"/>
      <c r="Y271" s="793"/>
      <c r="Z271" s="807">
        <v>12.07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85.71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25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1753.36</v>
      </c>
      <c r="F272" s="811"/>
      <c r="G272" s="818"/>
      <c r="H272" s="810">
        <v>129.19999999999999</v>
      </c>
      <c r="I272" s="811"/>
      <c r="J272" s="818"/>
      <c r="K272" s="810">
        <v>139.34</v>
      </c>
      <c r="L272" s="811"/>
      <c r="M272" s="818"/>
      <c r="N272" s="810">
        <v>174.74</v>
      </c>
      <c r="O272" s="811"/>
      <c r="P272" s="818"/>
      <c r="Q272" s="810">
        <v>144.5</v>
      </c>
      <c r="R272" s="811"/>
      <c r="S272" s="818"/>
      <c r="T272" s="810">
        <v>195.31</v>
      </c>
      <c r="U272" s="811"/>
      <c r="V272" s="818"/>
      <c r="W272" s="810">
        <v>169.54</v>
      </c>
      <c r="X272" s="811"/>
      <c r="Y272" s="818"/>
      <c r="Z272" s="810">
        <v>126.05</v>
      </c>
      <c r="AA272" s="811"/>
      <c r="AB272" s="818"/>
      <c r="AC272" s="810">
        <v>168.11</v>
      </c>
      <c r="AD272" s="811"/>
      <c r="AE272" s="818"/>
      <c r="AF272" s="810">
        <v>109</v>
      </c>
      <c r="AG272" s="811"/>
      <c r="AH272" s="818"/>
      <c r="AI272" s="810">
        <v>171.24</v>
      </c>
      <c r="AJ272" s="811"/>
      <c r="AK272" s="818"/>
      <c r="AL272" s="810">
        <v>151.13</v>
      </c>
      <c r="AM272" s="811"/>
      <c r="AN272" s="818"/>
      <c r="AO272" s="810">
        <v>75.2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25">
      <c r="A273" s="540" t="str">
        <f t="shared" si="5"/>
        <v>CarrosserieInformatique</v>
      </c>
      <c r="B273" s="626" t="s">
        <v>121</v>
      </c>
      <c r="C273" s="785"/>
      <c r="D273" s="793"/>
      <c r="E273" s="807">
        <v>2546.6800000000003</v>
      </c>
      <c r="F273" s="785"/>
      <c r="G273" s="793"/>
      <c r="H273" s="807">
        <v>229.28</v>
      </c>
      <c r="I273" s="785"/>
      <c r="J273" s="793"/>
      <c r="K273" s="807">
        <v>208.26</v>
      </c>
      <c r="L273" s="785"/>
      <c r="M273" s="793"/>
      <c r="N273" s="807">
        <v>208.26</v>
      </c>
      <c r="O273" s="785"/>
      <c r="P273" s="793"/>
      <c r="Q273" s="807">
        <v>216.24</v>
      </c>
      <c r="R273" s="785"/>
      <c r="S273" s="793"/>
      <c r="T273" s="807">
        <v>211.01</v>
      </c>
      <c r="U273" s="785"/>
      <c r="V273" s="793"/>
      <c r="W273" s="807">
        <v>213.65</v>
      </c>
      <c r="X273" s="785"/>
      <c r="Y273" s="793"/>
      <c r="Z273" s="807">
        <v>210.62</v>
      </c>
      <c r="AA273" s="785"/>
      <c r="AB273" s="793"/>
      <c r="AC273" s="807">
        <v>215.26</v>
      </c>
      <c r="AD273" s="785"/>
      <c r="AE273" s="793"/>
      <c r="AF273" s="807">
        <v>208.26</v>
      </c>
      <c r="AG273" s="785"/>
      <c r="AH273" s="793"/>
      <c r="AI273" s="807">
        <v>234.31</v>
      </c>
      <c r="AJ273" s="785"/>
      <c r="AK273" s="793"/>
      <c r="AL273" s="807">
        <v>214.63</v>
      </c>
      <c r="AM273" s="785"/>
      <c r="AN273" s="793"/>
      <c r="AO273" s="807">
        <v>176.9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25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329.49</v>
      </c>
      <c r="F274" s="785"/>
      <c r="G274" s="793"/>
      <c r="H274" s="807">
        <v>31.93</v>
      </c>
      <c r="I274" s="785"/>
      <c r="J274" s="793"/>
      <c r="K274" s="807">
        <v>18.36</v>
      </c>
      <c r="L274" s="785"/>
      <c r="M274" s="793"/>
      <c r="N274" s="807">
        <v>81.67</v>
      </c>
      <c r="O274" s="785"/>
      <c r="P274" s="793"/>
      <c r="Q274" s="807">
        <v>71.25</v>
      </c>
      <c r="R274" s="785"/>
      <c r="S274" s="793"/>
      <c r="T274" s="807">
        <v>14.79</v>
      </c>
      <c r="U274" s="785"/>
      <c r="V274" s="793"/>
      <c r="W274" s="807">
        <v>18.3</v>
      </c>
      <c r="X274" s="785"/>
      <c r="Y274" s="793"/>
      <c r="Z274" s="807">
        <v>-72.94</v>
      </c>
      <c r="AA274" s="785"/>
      <c r="AB274" s="793"/>
      <c r="AC274" s="807">
        <v>40.299999999999997</v>
      </c>
      <c r="AD274" s="785"/>
      <c r="AE274" s="793"/>
      <c r="AF274" s="807">
        <v>47.78</v>
      </c>
      <c r="AG274" s="785"/>
      <c r="AH274" s="793"/>
      <c r="AI274" s="807">
        <v>55.98</v>
      </c>
      <c r="AJ274" s="785"/>
      <c r="AK274" s="793"/>
      <c r="AL274" s="807">
        <v>17.63</v>
      </c>
      <c r="AM274" s="785"/>
      <c r="AN274" s="793"/>
      <c r="AO274" s="807">
        <v>4.4400000000000004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25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1983.2299999999998</v>
      </c>
      <c r="F275" s="811"/>
      <c r="G275" s="818"/>
      <c r="H275" s="810">
        <v>174.4</v>
      </c>
      <c r="I275" s="811"/>
      <c r="J275" s="818"/>
      <c r="K275" s="810">
        <v>186.5</v>
      </c>
      <c r="L275" s="811"/>
      <c r="M275" s="818"/>
      <c r="N275" s="810">
        <v>140.16999999999999</v>
      </c>
      <c r="O275" s="811"/>
      <c r="P275" s="818"/>
      <c r="Q275" s="810">
        <v>155.81</v>
      </c>
      <c r="R275" s="811"/>
      <c r="S275" s="818"/>
      <c r="T275" s="810">
        <v>191.52</v>
      </c>
      <c r="U275" s="811"/>
      <c r="V275" s="818"/>
      <c r="W275" s="810">
        <v>176.85</v>
      </c>
      <c r="X275" s="811"/>
      <c r="Y275" s="818"/>
      <c r="Z275" s="810">
        <v>150.44999999999999</v>
      </c>
      <c r="AA275" s="811"/>
      <c r="AB275" s="818"/>
      <c r="AC275" s="810">
        <v>159.81</v>
      </c>
      <c r="AD275" s="811"/>
      <c r="AE275" s="818"/>
      <c r="AF275" s="810">
        <v>178.46</v>
      </c>
      <c r="AG275" s="811"/>
      <c r="AH275" s="818"/>
      <c r="AI275" s="810">
        <v>144.32</v>
      </c>
      <c r="AJ275" s="811"/>
      <c r="AK275" s="818"/>
      <c r="AL275" s="810">
        <v>204.79</v>
      </c>
      <c r="AM275" s="811"/>
      <c r="AN275" s="818"/>
      <c r="AO275" s="810">
        <v>120.15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25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25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1.35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0.21</v>
      </c>
      <c r="AJ277" s="785"/>
      <c r="AK277" s="793"/>
      <c r="AL277" s="807">
        <v>0.6</v>
      </c>
      <c r="AM277" s="785"/>
      <c r="AN277" s="793"/>
      <c r="AO277" s="807">
        <v>0.54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25">
      <c r="A278" s="540" t="str">
        <f t="shared" si="5"/>
        <v>CarrosserieUniformes</v>
      </c>
      <c r="B278" s="626" t="s">
        <v>125</v>
      </c>
      <c r="C278" s="785"/>
      <c r="D278" s="793"/>
      <c r="E278" s="807">
        <v>23.08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4.33</v>
      </c>
      <c r="X278" s="785"/>
      <c r="Y278" s="793"/>
      <c r="Z278" s="807">
        <v>5</v>
      </c>
      <c r="AA278" s="785"/>
      <c r="AB278" s="793"/>
      <c r="AC278" s="807">
        <v>13.75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25">
      <c r="A279" s="540" t="str">
        <f t="shared" si="5"/>
        <v>CarrosseriePapeterie</v>
      </c>
      <c r="B279" s="626" t="s">
        <v>126</v>
      </c>
      <c r="C279" s="785"/>
      <c r="D279" s="793"/>
      <c r="E279" s="807">
        <v>355.77000000000004</v>
      </c>
      <c r="F279" s="785"/>
      <c r="G279" s="793"/>
      <c r="H279" s="807">
        <v>10.55</v>
      </c>
      <c r="I279" s="785"/>
      <c r="J279" s="793"/>
      <c r="K279" s="807">
        <v>34.85</v>
      </c>
      <c r="L279" s="785"/>
      <c r="M279" s="793"/>
      <c r="N279" s="807">
        <v>8.76</v>
      </c>
      <c r="O279" s="785"/>
      <c r="P279" s="793"/>
      <c r="Q279" s="807">
        <v>22.98</v>
      </c>
      <c r="R279" s="785"/>
      <c r="S279" s="793"/>
      <c r="T279" s="807">
        <v>38.18</v>
      </c>
      <c r="U279" s="785"/>
      <c r="V279" s="793"/>
      <c r="W279" s="807">
        <v>27.94</v>
      </c>
      <c r="X279" s="785"/>
      <c r="Y279" s="793"/>
      <c r="Z279" s="807">
        <v>41.73</v>
      </c>
      <c r="AA279" s="785"/>
      <c r="AB279" s="793"/>
      <c r="AC279" s="807">
        <v>49.15</v>
      </c>
      <c r="AD279" s="785"/>
      <c r="AE279" s="793"/>
      <c r="AF279" s="807">
        <v>18.68</v>
      </c>
      <c r="AG279" s="785"/>
      <c r="AH279" s="793"/>
      <c r="AI279" s="807">
        <v>47.61</v>
      </c>
      <c r="AJ279" s="785"/>
      <c r="AK279" s="793"/>
      <c r="AL279" s="807">
        <v>28.49</v>
      </c>
      <c r="AM279" s="785"/>
      <c r="AN279" s="793"/>
      <c r="AO279" s="807">
        <v>26.85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25">
      <c r="A280" s="540" t="str">
        <f t="shared" si="5"/>
        <v>CarrosserieTéléphone</v>
      </c>
      <c r="B280" s="626" t="s">
        <v>127</v>
      </c>
      <c r="C280" s="785"/>
      <c r="D280" s="793"/>
      <c r="E280" s="807">
        <v>113.03</v>
      </c>
      <c r="F280" s="785"/>
      <c r="G280" s="793"/>
      <c r="H280" s="807">
        <v>7.64</v>
      </c>
      <c r="I280" s="785"/>
      <c r="J280" s="793"/>
      <c r="K280" s="807">
        <v>7.6</v>
      </c>
      <c r="L280" s="785"/>
      <c r="M280" s="793"/>
      <c r="N280" s="807">
        <v>9.5299999999999994</v>
      </c>
      <c r="O280" s="785"/>
      <c r="P280" s="793"/>
      <c r="Q280" s="807">
        <v>9.42</v>
      </c>
      <c r="R280" s="785"/>
      <c r="S280" s="793"/>
      <c r="T280" s="807">
        <v>7.75</v>
      </c>
      <c r="U280" s="785"/>
      <c r="V280" s="793"/>
      <c r="W280" s="807">
        <v>15.16</v>
      </c>
      <c r="X280" s="785"/>
      <c r="Y280" s="793"/>
      <c r="Z280" s="807">
        <v>7.62</v>
      </c>
      <c r="AA280" s="785"/>
      <c r="AB280" s="793"/>
      <c r="AC280" s="807">
        <v>6.79</v>
      </c>
      <c r="AD280" s="785"/>
      <c r="AE280" s="793"/>
      <c r="AF280" s="807">
        <v>7.73</v>
      </c>
      <c r="AG280" s="785"/>
      <c r="AH280" s="793"/>
      <c r="AI280" s="807">
        <v>8.14</v>
      </c>
      <c r="AJ280" s="785"/>
      <c r="AK280" s="793"/>
      <c r="AL280" s="807">
        <v>17.52</v>
      </c>
      <c r="AM280" s="785"/>
      <c r="AN280" s="793"/>
      <c r="AO280" s="807">
        <v>8.1300000000000008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25">
      <c r="A281" s="540" t="str">
        <f t="shared" si="5"/>
        <v>CarrosserieFrais postaux</v>
      </c>
      <c r="B281" s="626" t="s">
        <v>128</v>
      </c>
      <c r="C281" s="785"/>
      <c r="D281" s="793"/>
      <c r="E281" s="807">
        <v>60.899999999999991</v>
      </c>
      <c r="F281" s="785"/>
      <c r="G281" s="793"/>
      <c r="H281" s="807">
        <v>2.82</v>
      </c>
      <c r="I281" s="785"/>
      <c r="J281" s="793"/>
      <c r="K281" s="807">
        <v>1.0900000000000001</v>
      </c>
      <c r="L281" s="785"/>
      <c r="M281" s="793"/>
      <c r="N281" s="807">
        <v>6.02</v>
      </c>
      <c r="O281" s="785"/>
      <c r="P281" s="793"/>
      <c r="Q281" s="807">
        <v>8.26</v>
      </c>
      <c r="R281" s="785"/>
      <c r="S281" s="793"/>
      <c r="T281" s="807">
        <v>7.64</v>
      </c>
      <c r="U281" s="785"/>
      <c r="V281" s="793"/>
      <c r="W281" s="807">
        <v>3.77</v>
      </c>
      <c r="X281" s="785"/>
      <c r="Y281" s="793"/>
      <c r="Z281" s="807">
        <v>12.13</v>
      </c>
      <c r="AA281" s="785"/>
      <c r="AB281" s="793"/>
      <c r="AC281" s="807">
        <v>6.45</v>
      </c>
      <c r="AD281" s="785"/>
      <c r="AE281" s="793"/>
      <c r="AF281" s="807">
        <v>0.82</v>
      </c>
      <c r="AG281" s="785"/>
      <c r="AH281" s="793"/>
      <c r="AI281" s="807">
        <v>4.58</v>
      </c>
      <c r="AJ281" s="785"/>
      <c r="AK281" s="793"/>
      <c r="AL281" s="807">
        <v>3.05</v>
      </c>
      <c r="AM281" s="785"/>
      <c r="AN281" s="793"/>
      <c r="AO281" s="807">
        <v>4.2699999999999996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25">
      <c r="A282" s="540" t="str">
        <f t="shared" si="5"/>
        <v>CarrosserieDivers</v>
      </c>
      <c r="B282" s="626" t="s">
        <v>129</v>
      </c>
      <c r="C282" s="785"/>
      <c r="D282" s="793"/>
      <c r="E282" s="807">
        <v>479.85999999999979</v>
      </c>
      <c r="F282" s="785"/>
      <c r="G282" s="793"/>
      <c r="H282" s="807">
        <v>53.42</v>
      </c>
      <c r="I282" s="785"/>
      <c r="J282" s="793"/>
      <c r="K282" s="807">
        <v>36.269999999999897</v>
      </c>
      <c r="L282" s="785"/>
      <c r="M282" s="793"/>
      <c r="N282" s="807">
        <v>40.35</v>
      </c>
      <c r="O282" s="785"/>
      <c r="P282" s="793"/>
      <c r="Q282" s="807">
        <v>46.26</v>
      </c>
      <c r="R282" s="785"/>
      <c r="S282" s="793"/>
      <c r="T282" s="807">
        <v>36.14</v>
      </c>
      <c r="U282" s="785"/>
      <c r="V282" s="793"/>
      <c r="W282" s="807">
        <v>36.14</v>
      </c>
      <c r="X282" s="785"/>
      <c r="Y282" s="793"/>
      <c r="Z282" s="807">
        <v>36.14</v>
      </c>
      <c r="AA282" s="785"/>
      <c r="AB282" s="793"/>
      <c r="AC282" s="807">
        <v>46.26</v>
      </c>
      <c r="AD282" s="785"/>
      <c r="AE282" s="793"/>
      <c r="AF282" s="807">
        <v>36.14</v>
      </c>
      <c r="AG282" s="785"/>
      <c r="AH282" s="793"/>
      <c r="AI282" s="807">
        <v>36.14</v>
      </c>
      <c r="AJ282" s="785"/>
      <c r="AK282" s="793"/>
      <c r="AL282" s="807">
        <v>41.09</v>
      </c>
      <c r="AM282" s="785"/>
      <c r="AN282" s="793"/>
      <c r="AO282" s="807">
        <v>35.51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25">
      <c r="A283" s="540" t="str">
        <f t="shared" si="5"/>
        <v>CarrosserieFormation</v>
      </c>
      <c r="B283" s="626" t="s">
        <v>130</v>
      </c>
      <c r="C283" s="785"/>
      <c r="D283" s="793"/>
      <c r="E283" s="807">
        <v>169.94</v>
      </c>
      <c r="F283" s="785"/>
      <c r="G283" s="793"/>
      <c r="H283" s="807">
        <v>-70.69</v>
      </c>
      <c r="I283" s="785"/>
      <c r="J283" s="793"/>
      <c r="K283" s="807">
        <v>34.54</v>
      </c>
      <c r="L283" s="785"/>
      <c r="M283" s="793"/>
      <c r="N283" s="807">
        <v>38.89</v>
      </c>
      <c r="O283" s="785"/>
      <c r="P283" s="793"/>
      <c r="Q283" s="807">
        <v>16.350000000000001</v>
      </c>
      <c r="R283" s="785"/>
      <c r="S283" s="793"/>
      <c r="T283" s="807">
        <v>-49.72</v>
      </c>
      <c r="U283" s="785"/>
      <c r="V283" s="793"/>
      <c r="W283" s="807">
        <v>-2.7</v>
      </c>
      <c r="X283" s="785"/>
      <c r="Y283" s="793"/>
      <c r="Z283" s="807">
        <v>27.97</v>
      </c>
      <c r="AA283" s="785"/>
      <c r="AB283" s="793"/>
      <c r="AC283" s="807">
        <v>54.16</v>
      </c>
      <c r="AD283" s="785"/>
      <c r="AE283" s="793"/>
      <c r="AF283" s="807">
        <v>9.99</v>
      </c>
      <c r="AG283" s="785"/>
      <c r="AH283" s="793"/>
      <c r="AI283" s="807">
        <v>27.95</v>
      </c>
      <c r="AJ283" s="785"/>
      <c r="AK283" s="793"/>
      <c r="AL283" s="807">
        <v>-6.63</v>
      </c>
      <c r="AM283" s="785"/>
      <c r="AN283" s="793"/>
      <c r="AO283" s="807">
        <v>89.83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25">
      <c r="A284" s="540" t="str">
        <f t="shared" si="5"/>
        <v>CarrosserieFrais bancaires</v>
      </c>
      <c r="B284" s="626" t="s">
        <v>131</v>
      </c>
      <c r="C284" s="785"/>
      <c r="D284" s="793"/>
      <c r="E284" s="807">
        <v>1855.9699999999998</v>
      </c>
      <c r="F284" s="785"/>
      <c r="G284" s="793"/>
      <c r="H284" s="807">
        <v>87.85</v>
      </c>
      <c r="I284" s="785"/>
      <c r="J284" s="793"/>
      <c r="K284" s="807">
        <v>91.25</v>
      </c>
      <c r="L284" s="785"/>
      <c r="M284" s="793"/>
      <c r="N284" s="807">
        <v>152.81</v>
      </c>
      <c r="O284" s="785"/>
      <c r="P284" s="793"/>
      <c r="Q284" s="807">
        <v>243.76</v>
      </c>
      <c r="R284" s="785"/>
      <c r="S284" s="793"/>
      <c r="T284" s="807">
        <v>228.27</v>
      </c>
      <c r="U284" s="785"/>
      <c r="V284" s="793"/>
      <c r="W284" s="807">
        <v>136.72999999999999</v>
      </c>
      <c r="X284" s="785"/>
      <c r="Y284" s="793"/>
      <c r="Z284" s="807">
        <v>166.34</v>
      </c>
      <c r="AA284" s="785"/>
      <c r="AB284" s="793"/>
      <c r="AC284" s="807">
        <v>111</v>
      </c>
      <c r="AD284" s="785"/>
      <c r="AE284" s="793"/>
      <c r="AF284" s="807">
        <v>148.02000000000001</v>
      </c>
      <c r="AG284" s="785"/>
      <c r="AH284" s="793"/>
      <c r="AI284" s="807">
        <v>219.36</v>
      </c>
      <c r="AJ284" s="785"/>
      <c r="AK284" s="793"/>
      <c r="AL284" s="807">
        <v>266.06</v>
      </c>
      <c r="AM284" s="785"/>
      <c r="AN284" s="793"/>
      <c r="AO284" s="807">
        <v>4.5199999999999996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0.25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10152.629999999999</v>
      </c>
      <c r="F288" s="824" t="s">
        <v>108</v>
      </c>
      <c r="G288" s="825">
        <v>0</v>
      </c>
      <c r="H288" s="826">
        <v>678.69999999999993</v>
      </c>
      <c r="I288" s="824" t="s">
        <v>108</v>
      </c>
      <c r="J288" s="825">
        <v>0</v>
      </c>
      <c r="K288" s="826">
        <v>781.66999999999985</v>
      </c>
      <c r="L288" s="824" t="s">
        <v>108</v>
      </c>
      <c r="M288" s="825">
        <v>0</v>
      </c>
      <c r="N288" s="826">
        <v>876.76</v>
      </c>
      <c r="O288" s="824" t="s">
        <v>108</v>
      </c>
      <c r="P288" s="825">
        <v>0</v>
      </c>
      <c r="Q288" s="826">
        <v>983.03</v>
      </c>
      <c r="R288" s="824" t="s">
        <v>108</v>
      </c>
      <c r="S288" s="825">
        <v>0</v>
      </c>
      <c r="T288" s="826">
        <v>909.02999999999986</v>
      </c>
      <c r="U288" s="824" t="s">
        <v>108</v>
      </c>
      <c r="V288" s="825">
        <v>0</v>
      </c>
      <c r="W288" s="826">
        <v>845.36</v>
      </c>
      <c r="X288" s="824" t="s">
        <v>108</v>
      </c>
      <c r="Y288" s="825">
        <v>0</v>
      </c>
      <c r="Z288" s="826">
        <v>723.18000000000006</v>
      </c>
      <c r="AA288" s="824" t="s">
        <v>108</v>
      </c>
      <c r="AB288" s="825">
        <v>0</v>
      </c>
      <c r="AC288" s="826">
        <v>871.04</v>
      </c>
      <c r="AD288" s="824" t="s">
        <v>108</v>
      </c>
      <c r="AE288" s="825">
        <v>0</v>
      </c>
      <c r="AF288" s="826">
        <v>812.35</v>
      </c>
      <c r="AG288" s="824" t="s">
        <v>108</v>
      </c>
      <c r="AH288" s="825">
        <v>0</v>
      </c>
      <c r="AI288" s="826">
        <v>956.34000000000015</v>
      </c>
      <c r="AJ288" s="824" t="s">
        <v>108</v>
      </c>
      <c r="AK288" s="825">
        <v>0</v>
      </c>
      <c r="AL288" s="826">
        <v>1064.83</v>
      </c>
      <c r="AM288" s="824" t="s">
        <v>108</v>
      </c>
      <c r="AN288" s="825">
        <v>0</v>
      </c>
      <c r="AO288" s="826">
        <v>650.34000000000015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25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0.25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23065.69</v>
      </c>
      <c r="F290" s="812" t="s">
        <v>108</v>
      </c>
      <c r="G290" s="850">
        <v>0</v>
      </c>
      <c r="H290" s="823">
        <v>1645.1299999999999</v>
      </c>
      <c r="I290" s="812" t="s">
        <v>108</v>
      </c>
      <c r="J290" s="850">
        <v>0</v>
      </c>
      <c r="K290" s="823">
        <v>2696.5299999999997</v>
      </c>
      <c r="L290" s="812" t="s">
        <v>108</v>
      </c>
      <c r="M290" s="850">
        <v>0</v>
      </c>
      <c r="N290" s="823">
        <v>1827.97</v>
      </c>
      <c r="O290" s="812" t="s">
        <v>108</v>
      </c>
      <c r="P290" s="850">
        <v>0</v>
      </c>
      <c r="Q290" s="823">
        <v>1944.21</v>
      </c>
      <c r="R290" s="812" t="s">
        <v>108</v>
      </c>
      <c r="S290" s="850">
        <v>0</v>
      </c>
      <c r="T290" s="823">
        <v>1996.3000000000002</v>
      </c>
      <c r="U290" s="812" t="s">
        <v>108</v>
      </c>
      <c r="V290" s="850">
        <v>0</v>
      </c>
      <c r="W290" s="823">
        <v>1809.4700000000003</v>
      </c>
      <c r="X290" s="812" t="s">
        <v>108</v>
      </c>
      <c r="Y290" s="850">
        <v>0</v>
      </c>
      <c r="Z290" s="823">
        <v>1645.81</v>
      </c>
      <c r="AA290" s="812" t="s">
        <v>108</v>
      </c>
      <c r="AB290" s="850">
        <v>0</v>
      </c>
      <c r="AC290" s="823">
        <v>1931.29</v>
      </c>
      <c r="AD290" s="812" t="s">
        <v>108</v>
      </c>
      <c r="AE290" s="850">
        <v>0</v>
      </c>
      <c r="AF290" s="823">
        <v>1884.4699999999998</v>
      </c>
      <c r="AG290" s="812" t="s">
        <v>108</v>
      </c>
      <c r="AH290" s="850">
        <v>0</v>
      </c>
      <c r="AI290" s="823">
        <v>1981.2500000000002</v>
      </c>
      <c r="AJ290" s="812" t="s">
        <v>108</v>
      </c>
      <c r="AK290" s="850">
        <v>0</v>
      </c>
      <c r="AL290" s="823">
        <v>2071.4699999999998</v>
      </c>
      <c r="AM290" s="812" t="s">
        <v>108</v>
      </c>
      <c r="AN290" s="850">
        <v>0</v>
      </c>
      <c r="AO290" s="823">
        <v>1631.7900000000002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25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-18585.440000000006</v>
      </c>
      <c r="F292" s="851"/>
      <c r="G292" s="852"/>
      <c r="H292" s="832">
        <v>-1488.8300000000008</v>
      </c>
      <c r="I292" s="851"/>
      <c r="J292" s="852"/>
      <c r="K292" s="832">
        <v>-2493.06</v>
      </c>
      <c r="L292" s="851"/>
      <c r="M292" s="852"/>
      <c r="N292" s="832">
        <v>-1696.48</v>
      </c>
      <c r="O292" s="851"/>
      <c r="P292" s="852"/>
      <c r="Q292" s="832">
        <v>-1910.46</v>
      </c>
      <c r="R292" s="851"/>
      <c r="S292" s="852"/>
      <c r="T292" s="832">
        <v>-1168.4900000000011</v>
      </c>
      <c r="U292" s="851"/>
      <c r="V292" s="852"/>
      <c r="W292" s="832">
        <v>-1641.5000000000014</v>
      </c>
      <c r="X292" s="851"/>
      <c r="Y292" s="852"/>
      <c r="Z292" s="832">
        <v>-1513.7900000000009</v>
      </c>
      <c r="AA292" s="851"/>
      <c r="AB292" s="852"/>
      <c r="AC292" s="832">
        <v>-1574.5500000000011</v>
      </c>
      <c r="AD292" s="851"/>
      <c r="AE292" s="852"/>
      <c r="AF292" s="832">
        <v>-1109.83</v>
      </c>
      <c r="AG292" s="851"/>
      <c r="AH292" s="852"/>
      <c r="AI292" s="832">
        <v>-1292.3100000000002</v>
      </c>
      <c r="AJ292" s="851"/>
      <c r="AK292" s="852"/>
      <c r="AL292" s="832">
        <v>-1166.0499999999997</v>
      </c>
      <c r="AM292" s="851"/>
      <c r="AN292" s="852"/>
      <c r="AO292" s="832">
        <v>-1530.0900000000013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25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25">
      <c r="A294" s="540"/>
      <c r="B294" s="618" t="s">
        <v>2812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" thickTop="1">
      <c r="A296" s="540"/>
      <c r="B296" s="658" t="s">
        <v>293</v>
      </c>
      <c r="C296" s="768">
        <v>2024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25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25">
      <c r="A298" s="540" t="str">
        <f t="shared" ref="A298:A356" si="6">+$C$294&amp;B298</f>
        <v>PiècesPièces Ro Clients</v>
      </c>
      <c r="B298" s="550" t="s">
        <v>169</v>
      </c>
      <c r="C298" s="854">
        <v>691663.80999999959</v>
      </c>
      <c r="D298" s="848">
        <v>0.39906731566597298</v>
      </c>
      <c r="E298" s="807">
        <v>276020.4199999994</v>
      </c>
      <c r="F298" s="854">
        <v>38074.57</v>
      </c>
      <c r="G298" s="848">
        <v>0.43991803453065914</v>
      </c>
      <c r="H298" s="807">
        <v>16749.689999999999</v>
      </c>
      <c r="I298" s="854">
        <v>52256.61</v>
      </c>
      <c r="J298" s="848">
        <v>0.38531393444771866</v>
      </c>
      <c r="K298" s="807">
        <v>20135.2</v>
      </c>
      <c r="L298" s="854">
        <v>48179.360000000001</v>
      </c>
      <c r="M298" s="848">
        <v>0.41577368400078374</v>
      </c>
      <c r="N298" s="807">
        <v>20031.71</v>
      </c>
      <c r="O298" s="854">
        <v>49147.909999999902</v>
      </c>
      <c r="P298" s="848">
        <v>0.37536977665988114</v>
      </c>
      <c r="Q298" s="807">
        <v>18448.639999999901</v>
      </c>
      <c r="R298" s="854">
        <v>101379.69</v>
      </c>
      <c r="S298" s="848">
        <v>0.41161696193783981</v>
      </c>
      <c r="T298" s="807">
        <v>41729.599999999999</v>
      </c>
      <c r="U298" s="854">
        <v>61151.799999999901</v>
      </c>
      <c r="V298" s="848">
        <v>0.40306450505136299</v>
      </c>
      <c r="W298" s="807">
        <v>24648.119999999901</v>
      </c>
      <c r="X298" s="854">
        <v>74277.59</v>
      </c>
      <c r="Y298" s="848">
        <v>0.38412420219880455</v>
      </c>
      <c r="Z298" s="807">
        <v>28531.819999999901</v>
      </c>
      <c r="AA298" s="854">
        <v>49580.33</v>
      </c>
      <c r="AB298" s="848">
        <v>0.4085928835084397</v>
      </c>
      <c r="AC298" s="807">
        <v>20258.169999999998</v>
      </c>
      <c r="AD298" s="854">
        <v>48572.5</v>
      </c>
      <c r="AE298" s="848">
        <v>0.37293818518708938</v>
      </c>
      <c r="AF298" s="807">
        <v>18114.539999999899</v>
      </c>
      <c r="AG298" s="854">
        <v>59024.789999999899</v>
      </c>
      <c r="AH298" s="848">
        <v>0.4077474905035654</v>
      </c>
      <c r="AI298" s="807">
        <v>24067.209999999901</v>
      </c>
      <c r="AJ298" s="854">
        <v>76600.95</v>
      </c>
      <c r="AK298" s="848">
        <v>0.37806776547810439</v>
      </c>
      <c r="AL298" s="807">
        <v>28960.35</v>
      </c>
      <c r="AM298" s="854">
        <v>33417.71</v>
      </c>
      <c r="AN298" s="848">
        <v>0.42927447751506315</v>
      </c>
      <c r="AO298" s="807">
        <v>14345.369999999901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25">
      <c r="A299" s="540" t="str">
        <f t="shared" si="6"/>
        <v>PiècesPièces Ro Carrosserie</v>
      </c>
      <c r="B299" s="550" t="s">
        <v>170</v>
      </c>
      <c r="C299" s="854">
        <v>7465.0599999999995</v>
      </c>
      <c r="D299" s="848">
        <v>0.32626127586382414</v>
      </c>
      <c r="E299" s="807">
        <v>2435.559999999999</v>
      </c>
      <c r="F299" s="854">
        <v>0</v>
      </c>
      <c r="G299" s="848">
        <v>0</v>
      </c>
      <c r="H299" s="807">
        <v>0</v>
      </c>
      <c r="I299" s="854">
        <v>500.26</v>
      </c>
      <c r="J299" s="848">
        <v>0.3922360372606245</v>
      </c>
      <c r="K299" s="807">
        <v>196.22</v>
      </c>
      <c r="L299" s="854">
        <v>0</v>
      </c>
      <c r="M299" s="848">
        <v>0</v>
      </c>
      <c r="N299" s="807">
        <v>0</v>
      </c>
      <c r="O299" s="854">
        <v>106.86</v>
      </c>
      <c r="P299" s="848">
        <v>0.30001871607711028</v>
      </c>
      <c r="Q299" s="807">
        <v>32.06</v>
      </c>
      <c r="R299" s="854">
        <v>4095.97</v>
      </c>
      <c r="S299" s="848">
        <v>0.28024375178529137</v>
      </c>
      <c r="T299" s="807">
        <v>1147.8699999999999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2525.73</v>
      </c>
      <c r="AH299" s="848">
        <v>0.38764634382930835</v>
      </c>
      <c r="AI299" s="807">
        <v>979.08999999999901</v>
      </c>
      <c r="AJ299" s="854">
        <v>236.24</v>
      </c>
      <c r="AK299" s="848">
        <v>0.33999322722654923</v>
      </c>
      <c r="AL299" s="807">
        <v>80.319999999999993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25">
      <c r="A300" s="540" t="str">
        <f t="shared" si="6"/>
        <v>PiècesP/A Garantie</v>
      </c>
      <c r="B300" s="550" t="s">
        <v>171</v>
      </c>
      <c r="C300" s="854">
        <v>705651.38999999943</v>
      </c>
      <c r="D300" s="848">
        <v>0.28172483299437628</v>
      </c>
      <c r="E300" s="807">
        <v>198799.51999999932</v>
      </c>
      <c r="F300" s="854">
        <v>81007.39</v>
      </c>
      <c r="G300" s="848">
        <v>0.28715343131040266</v>
      </c>
      <c r="H300" s="807">
        <v>23261.55</v>
      </c>
      <c r="I300" s="854">
        <v>29013.8999999999</v>
      </c>
      <c r="J300" s="848">
        <v>0.28731849217099487</v>
      </c>
      <c r="K300" s="807">
        <v>8336.23</v>
      </c>
      <c r="L300" s="854">
        <v>44518.05</v>
      </c>
      <c r="M300" s="848">
        <v>0.29369255841169817</v>
      </c>
      <c r="N300" s="807">
        <v>13074.619999999901</v>
      </c>
      <c r="O300" s="854">
        <v>37284.379999999997</v>
      </c>
      <c r="P300" s="848">
        <v>0.28654492846601981</v>
      </c>
      <c r="Q300" s="807">
        <v>10683.6499999999</v>
      </c>
      <c r="R300" s="854">
        <v>45144.229999999901</v>
      </c>
      <c r="S300" s="848">
        <v>0.28611474821920607</v>
      </c>
      <c r="T300" s="807">
        <v>12916.4299999999</v>
      </c>
      <c r="U300" s="854">
        <v>52884.57</v>
      </c>
      <c r="V300" s="848">
        <v>0.2864154894329291</v>
      </c>
      <c r="W300" s="807">
        <v>15146.96</v>
      </c>
      <c r="X300" s="854">
        <v>60599.03</v>
      </c>
      <c r="Y300" s="848">
        <v>0.26726302384708139</v>
      </c>
      <c r="Z300" s="807">
        <v>16195.88</v>
      </c>
      <c r="AA300" s="854">
        <v>54623.0099999999</v>
      </c>
      <c r="AB300" s="848">
        <v>0.28735728770713898</v>
      </c>
      <c r="AC300" s="807">
        <v>15696.3199999999</v>
      </c>
      <c r="AD300" s="854">
        <v>90556.599999999904</v>
      </c>
      <c r="AE300" s="848">
        <v>0.26027832317025956</v>
      </c>
      <c r="AF300" s="807">
        <v>23569.9199999999</v>
      </c>
      <c r="AG300" s="854">
        <v>70610.179999999993</v>
      </c>
      <c r="AH300" s="848">
        <v>0.28525985913079394</v>
      </c>
      <c r="AI300" s="807">
        <v>20142.25</v>
      </c>
      <c r="AJ300" s="854">
        <v>82161.429999999993</v>
      </c>
      <c r="AK300" s="848">
        <v>0.2859726273021283</v>
      </c>
      <c r="AL300" s="807">
        <v>23495.9199999999</v>
      </c>
      <c r="AM300" s="854">
        <v>57248.619999999901</v>
      </c>
      <c r="AN300" s="848">
        <v>0.28436999878774244</v>
      </c>
      <c r="AO300" s="807">
        <v>16279.789999999901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25">
      <c r="A301" s="540" t="str">
        <f t="shared" si="6"/>
        <v>PiècesVentes Internes</v>
      </c>
      <c r="B301" s="550" t="s">
        <v>172</v>
      </c>
      <c r="C301" s="854">
        <v>215481.36</v>
      </c>
      <c r="D301" s="848">
        <v>0.33547096602694543</v>
      </c>
      <c r="E301" s="807">
        <v>72287.739999999991</v>
      </c>
      <c r="F301" s="854">
        <v>12389.91</v>
      </c>
      <c r="G301" s="848">
        <v>0.40430075763262202</v>
      </c>
      <c r="H301" s="807">
        <v>5009.25</v>
      </c>
      <c r="I301" s="854">
        <v>6569.6399999999903</v>
      </c>
      <c r="J301" s="848">
        <v>0.35903489384501941</v>
      </c>
      <c r="K301" s="807">
        <v>2358.72999999999</v>
      </c>
      <c r="L301" s="854">
        <v>12368.7</v>
      </c>
      <c r="M301" s="848">
        <v>0.22129003048016363</v>
      </c>
      <c r="N301" s="807">
        <v>2737.07</v>
      </c>
      <c r="O301" s="854">
        <v>18887.43</v>
      </c>
      <c r="P301" s="848">
        <v>0.31382141455984214</v>
      </c>
      <c r="Q301" s="807">
        <v>5927.28</v>
      </c>
      <c r="R301" s="854">
        <v>19700.91</v>
      </c>
      <c r="S301" s="848">
        <v>0.28624109241654322</v>
      </c>
      <c r="T301" s="807">
        <v>5639.21</v>
      </c>
      <c r="U301" s="854">
        <v>12460.92</v>
      </c>
      <c r="V301" s="848">
        <v>0.2860117872516636</v>
      </c>
      <c r="W301" s="807">
        <v>3563.97</v>
      </c>
      <c r="X301" s="854">
        <v>15301.85</v>
      </c>
      <c r="Y301" s="848">
        <v>0.35106016592764927</v>
      </c>
      <c r="Z301" s="807">
        <v>5371.87</v>
      </c>
      <c r="AA301" s="854">
        <v>18137.98</v>
      </c>
      <c r="AB301" s="848">
        <v>0.3612276560013849</v>
      </c>
      <c r="AC301" s="807">
        <v>6551.94</v>
      </c>
      <c r="AD301" s="854">
        <v>18566.009999999998</v>
      </c>
      <c r="AE301" s="848">
        <v>0.38170883243087778</v>
      </c>
      <c r="AF301" s="807">
        <v>7086.81</v>
      </c>
      <c r="AG301" s="854">
        <v>27413.58</v>
      </c>
      <c r="AH301" s="848">
        <v>0.3434888839764817</v>
      </c>
      <c r="AI301" s="807">
        <v>9416.26</v>
      </c>
      <c r="AJ301" s="854">
        <v>30386.959999999999</v>
      </c>
      <c r="AK301" s="848">
        <v>0.32565021311773212</v>
      </c>
      <c r="AL301" s="807">
        <v>9895.52</v>
      </c>
      <c r="AM301" s="854">
        <v>23297.47</v>
      </c>
      <c r="AN301" s="848">
        <v>0.37471150300869577</v>
      </c>
      <c r="AO301" s="807">
        <v>8729.83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25">
      <c r="A302" s="540" t="str">
        <f t="shared" si="6"/>
        <v>PiècesVentes Détails</v>
      </c>
      <c r="B302" s="550" t="s">
        <v>173</v>
      </c>
      <c r="C302" s="854">
        <v>314665.81999999966</v>
      </c>
      <c r="D302" s="848">
        <v>0.2797598099469461</v>
      </c>
      <c r="E302" s="807">
        <v>88030.84999999986</v>
      </c>
      <c r="F302" s="854">
        <v>13287.98</v>
      </c>
      <c r="G302" s="848">
        <v>0.28935699782811231</v>
      </c>
      <c r="H302" s="807">
        <v>3844.97</v>
      </c>
      <c r="I302" s="854">
        <v>16921.879999999899</v>
      </c>
      <c r="J302" s="848">
        <v>0.34771550206005625</v>
      </c>
      <c r="K302" s="807">
        <v>5883.99999999999</v>
      </c>
      <c r="L302" s="854">
        <v>40054.050000000003</v>
      </c>
      <c r="M302" s="848">
        <v>0.25169714423385398</v>
      </c>
      <c r="N302" s="807">
        <v>10081.49</v>
      </c>
      <c r="O302" s="854">
        <v>27401.949999999899</v>
      </c>
      <c r="P302" s="848">
        <v>0.20045982129009104</v>
      </c>
      <c r="Q302" s="807">
        <v>5492.9899999999898</v>
      </c>
      <c r="R302" s="854">
        <v>26564.869999999901</v>
      </c>
      <c r="S302" s="848">
        <v>0.31206363893367522</v>
      </c>
      <c r="T302" s="807">
        <v>8289.9299999999894</v>
      </c>
      <c r="U302" s="854">
        <v>23921.72</v>
      </c>
      <c r="V302" s="848">
        <v>0.29105850248226295</v>
      </c>
      <c r="W302" s="807">
        <v>6962.62</v>
      </c>
      <c r="X302" s="854">
        <v>22737.75</v>
      </c>
      <c r="Y302" s="848">
        <v>0.30379039262899804</v>
      </c>
      <c r="Z302" s="807">
        <v>6907.51</v>
      </c>
      <c r="AA302" s="854">
        <v>23616.34</v>
      </c>
      <c r="AB302" s="848">
        <v>0.25715754431042237</v>
      </c>
      <c r="AC302" s="807">
        <v>6073.12</v>
      </c>
      <c r="AD302" s="854">
        <v>34302.78</v>
      </c>
      <c r="AE302" s="848">
        <v>0.29184952356630861</v>
      </c>
      <c r="AF302" s="807">
        <v>10011.2499999999</v>
      </c>
      <c r="AG302" s="854">
        <v>40701.300000000003</v>
      </c>
      <c r="AH302" s="848">
        <v>0.28592403682437656</v>
      </c>
      <c r="AI302" s="807">
        <v>11637.48</v>
      </c>
      <c r="AJ302" s="854">
        <v>26330.03</v>
      </c>
      <c r="AK302" s="848">
        <v>0.27260280371879525</v>
      </c>
      <c r="AL302" s="807">
        <v>7177.6399999999903</v>
      </c>
      <c r="AM302" s="854">
        <v>18825.169999999998</v>
      </c>
      <c r="AN302" s="848">
        <v>0.30107829039525225</v>
      </c>
      <c r="AO302" s="807">
        <v>5667.8499999999904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25">
      <c r="A303" s="540" t="str">
        <f t="shared" si="6"/>
        <v>PiècesVentes de Gros</v>
      </c>
      <c r="B303" s="550" t="s">
        <v>174</v>
      </c>
      <c r="C303" s="854">
        <v>531794.52</v>
      </c>
      <c r="D303" s="848">
        <v>0.2038442780493486</v>
      </c>
      <c r="E303" s="807">
        <v>108403.26999999987</v>
      </c>
      <c r="F303" s="854">
        <v>64660.72</v>
      </c>
      <c r="G303" s="848">
        <v>0.18763137806074537</v>
      </c>
      <c r="H303" s="807">
        <v>12132.38</v>
      </c>
      <c r="I303" s="854">
        <v>40829.660000000003</v>
      </c>
      <c r="J303" s="848">
        <v>0.19246817142244141</v>
      </c>
      <c r="K303" s="807">
        <v>7858.41</v>
      </c>
      <c r="L303" s="854">
        <v>32085.34</v>
      </c>
      <c r="M303" s="848">
        <v>0.21001709815136757</v>
      </c>
      <c r="N303" s="807">
        <v>6738.47</v>
      </c>
      <c r="O303" s="854">
        <v>50271.28</v>
      </c>
      <c r="P303" s="848">
        <v>0.20057157884183374</v>
      </c>
      <c r="Q303" s="807">
        <v>10082.9899999999</v>
      </c>
      <c r="R303" s="854">
        <v>66902.58</v>
      </c>
      <c r="S303" s="848">
        <v>0.2107130995546061</v>
      </c>
      <c r="T303" s="807">
        <v>14097.25</v>
      </c>
      <c r="U303" s="854">
        <v>58077.85</v>
      </c>
      <c r="V303" s="848">
        <v>0.20469146154687201</v>
      </c>
      <c r="W303" s="807">
        <v>11888.04</v>
      </c>
      <c r="X303" s="854">
        <v>54288.38</v>
      </c>
      <c r="Y303" s="848">
        <v>0.22613107998433554</v>
      </c>
      <c r="Z303" s="807">
        <v>12276.29</v>
      </c>
      <c r="AA303" s="854">
        <v>21210.63</v>
      </c>
      <c r="AB303" s="848">
        <v>0.17641908797617042</v>
      </c>
      <c r="AC303" s="807">
        <v>3741.96</v>
      </c>
      <c r="AD303" s="854">
        <v>36178.019999999997</v>
      </c>
      <c r="AE303" s="848">
        <v>0.22392436070299013</v>
      </c>
      <c r="AF303" s="807">
        <v>8101.1399999999903</v>
      </c>
      <c r="AG303" s="854">
        <v>19252.650000000001</v>
      </c>
      <c r="AH303" s="848">
        <v>0.23594206511830837</v>
      </c>
      <c r="AI303" s="807">
        <v>4542.51</v>
      </c>
      <c r="AJ303" s="854">
        <v>54580.51</v>
      </c>
      <c r="AK303" s="848">
        <v>0.21461800192046573</v>
      </c>
      <c r="AL303" s="807">
        <v>11713.96</v>
      </c>
      <c r="AM303" s="854">
        <v>33456.9</v>
      </c>
      <c r="AN303" s="848">
        <v>0.15631663423688386</v>
      </c>
      <c r="AO303" s="807">
        <v>5229.87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25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25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66072.73</v>
      </c>
      <c r="F305" s="854">
        <v>0</v>
      </c>
      <c r="G305" s="848">
        <v>0</v>
      </c>
      <c r="H305" s="807">
        <v>1037.5</v>
      </c>
      <c r="I305" s="854">
        <v>0</v>
      </c>
      <c r="J305" s="848">
        <v>0</v>
      </c>
      <c r="K305" s="807">
        <v>940.37</v>
      </c>
      <c r="L305" s="854">
        <v>0</v>
      </c>
      <c r="M305" s="848">
        <v>0</v>
      </c>
      <c r="N305" s="807">
        <v>20936.03</v>
      </c>
      <c r="O305" s="854">
        <v>0</v>
      </c>
      <c r="P305" s="848">
        <v>0</v>
      </c>
      <c r="Q305" s="807">
        <v>1524.55</v>
      </c>
      <c r="R305" s="854">
        <v>0</v>
      </c>
      <c r="S305" s="848">
        <v>0</v>
      </c>
      <c r="T305" s="807">
        <v>7049.22</v>
      </c>
      <c r="U305" s="854">
        <v>0</v>
      </c>
      <c r="V305" s="848">
        <v>0</v>
      </c>
      <c r="W305" s="807">
        <v>3795.3</v>
      </c>
      <c r="X305" s="854">
        <v>0</v>
      </c>
      <c r="Y305" s="848">
        <v>0</v>
      </c>
      <c r="Z305" s="807">
        <v>-500.91</v>
      </c>
      <c r="AA305" s="854">
        <v>0</v>
      </c>
      <c r="AB305" s="848">
        <v>0</v>
      </c>
      <c r="AC305" s="807">
        <v>6306.81</v>
      </c>
      <c r="AD305" s="854">
        <v>0</v>
      </c>
      <c r="AE305" s="848">
        <v>0</v>
      </c>
      <c r="AF305" s="807">
        <v>115.66</v>
      </c>
      <c r="AG305" s="854">
        <v>0</v>
      </c>
      <c r="AH305" s="848">
        <v>0</v>
      </c>
      <c r="AI305" s="807">
        <v>9632.99</v>
      </c>
      <c r="AJ305" s="854">
        <v>0</v>
      </c>
      <c r="AK305" s="848">
        <v>0</v>
      </c>
      <c r="AL305" s="807">
        <v>2545.65</v>
      </c>
      <c r="AM305" s="854">
        <v>0</v>
      </c>
      <c r="AN305" s="848">
        <v>0</v>
      </c>
      <c r="AO305" s="807">
        <v>12689.56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25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9377.1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9377.1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0.25">
      <c r="A307" s="540" t="str">
        <f t="shared" si="6"/>
        <v>PiècesSous-total Pièces</v>
      </c>
      <c r="B307" s="620" t="s">
        <v>177</v>
      </c>
      <c r="C307" s="886">
        <v>2466721.959999999</v>
      </c>
      <c r="D307" s="887">
        <v>0.33300355829320899</v>
      </c>
      <c r="E307" s="888">
        <v>821427.18999999843</v>
      </c>
      <c r="F307" s="886">
        <v>209420.57</v>
      </c>
      <c r="G307" s="887">
        <v>0.29622371861560681</v>
      </c>
      <c r="H307" s="888">
        <v>62035.34</v>
      </c>
      <c r="I307" s="886">
        <v>146091.94999999978</v>
      </c>
      <c r="J307" s="887">
        <v>0.31287938863161213</v>
      </c>
      <c r="K307" s="888">
        <v>45709.159999999982</v>
      </c>
      <c r="L307" s="886">
        <v>177205.5</v>
      </c>
      <c r="M307" s="887">
        <v>0.41533355341679518</v>
      </c>
      <c r="N307" s="888">
        <v>73599.389999999898</v>
      </c>
      <c r="O307" s="886">
        <v>183099.80999999979</v>
      </c>
      <c r="P307" s="887">
        <v>0.28504759234867449</v>
      </c>
      <c r="Q307" s="888">
        <v>52192.159999999698</v>
      </c>
      <c r="R307" s="886">
        <v>263788.24999999983</v>
      </c>
      <c r="S307" s="887">
        <v>0.34447899025070278</v>
      </c>
      <c r="T307" s="888">
        <v>90869.509999999893</v>
      </c>
      <c r="U307" s="886">
        <v>208496.8599999999</v>
      </c>
      <c r="V307" s="887">
        <v>0.31657555897964096</v>
      </c>
      <c r="W307" s="888">
        <v>66005.009999999907</v>
      </c>
      <c r="X307" s="886">
        <v>227204.6</v>
      </c>
      <c r="Y307" s="887">
        <v>0.30273357141536705</v>
      </c>
      <c r="Z307" s="888">
        <v>68782.459999999905</v>
      </c>
      <c r="AA307" s="886">
        <v>167168.28999999992</v>
      </c>
      <c r="AB307" s="887">
        <v>0.35071436095924607</v>
      </c>
      <c r="AC307" s="888">
        <v>58628.319999999898</v>
      </c>
      <c r="AD307" s="886">
        <v>228175.90999999992</v>
      </c>
      <c r="AE307" s="887">
        <v>0.29363012072571426</v>
      </c>
      <c r="AF307" s="888">
        <v>66999.319999999687</v>
      </c>
      <c r="AG307" s="886">
        <v>219528.22999999989</v>
      </c>
      <c r="AH307" s="887">
        <v>0.36632095106857077</v>
      </c>
      <c r="AI307" s="888">
        <v>80417.789999999906</v>
      </c>
      <c r="AJ307" s="886">
        <v>270296.12</v>
      </c>
      <c r="AK307" s="887">
        <v>0.31028695491448366</v>
      </c>
      <c r="AL307" s="888">
        <v>83869.35999999987</v>
      </c>
      <c r="AM307" s="886">
        <v>166245.86999999991</v>
      </c>
      <c r="AN307" s="887">
        <v>0.43501453600020157</v>
      </c>
      <c r="AO307" s="888">
        <v>72319.369999999792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25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25">
      <c r="A309" s="540" t="str">
        <f t="shared" si="6"/>
        <v>Pièces</v>
      </c>
      <c r="B309" s="610"/>
      <c r="C309" s="811"/>
      <c r="D309" s="818"/>
      <c r="E309" s="889"/>
      <c r="F309" s="811">
        <v>0</v>
      </c>
      <c r="G309" s="818">
        <v>0</v>
      </c>
      <c r="H309" s="889">
        <v>0</v>
      </c>
      <c r="I309" s="811">
        <v>0</v>
      </c>
      <c r="J309" s="818">
        <v>0</v>
      </c>
      <c r="K309" s="889">
        <v>0</v>
      </c>
      <c r="L309" s="811">
        <v>0</v>
      </c>
      <c r="M309" s="818">
        <v>0</v>
      </c>
      <c r="N309" s="889">
        <v>0</v>
      </c>
      <c r="O309" s="811">
        <v>0</v>
      </c>
      <c r="P309" s="818">
        <v>0</v>
      </c>
      <c r="Q309" s="889">
        <v>0</v>
      </c>
      <c r="R309" s="811">
        <v>0</v>
      </c>
      <c r="S309" s="818">
        <v>0</v>
      </c>
      <c r="T309" s="889">
        <v>0</v>
      </c>
      <c r="U309" s="811">
        <v>0</v>
      </c>
      <c r="V309" s="818">
        <v>0</v>
      </c>
      <c r="W309" s="889">
        <v>0</v>
      </c>
      <c r="X309" s="811">
        <v>0</v>
      </c>
      <c r="Y309" s="818">
        <v>0</v>
      </c>
      <c r="Z309" s="889">
        <v>0</v>
      </c>
      <c r="AA309" s="811">
        <v>0</v>
      </c>
      <c r="AB309" s="818">
        <v>0</v>
      </c>
      <c r="AC309" s="889">
        <v>0</v>
      </c>
      <c r="AD309" s="811">
        <v>0</v>
      </c>
      <c r="AE309" s="818">
        <v>0</v>
      </c>
      <c r="AF309" s="889">
        <v>0</v>
      </c>
      <c r="AG309" s="811">
        <v>0</v>
      </c>
      <c r="AH309" s="818">
        <v>0</v>
      </c>
      <c r="AI309" s="889">
        <v>0</v>
      </c>
      <c r="AJ309" s="811">
        <v>0</v>
      </c>
      <c r="AK309" s="818">
        <v>0</v>
      </c>
      <c r="AL309" s="889">
        <v>0</v>
      </c>
      <c r="AM309" s="811">
        <v>0</v>
      </c>
      <c r="AN309" s="818">
        <v>0</v>
      </c>
      <c r="AO309" s="889">
        <v>0</v>
      </c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25">
      <c r="A310" s="540" t="str">
        <f t="shared" si="6"/>
        <v>PiècesVentes Pneus</v>
      </c>
      <c r="B310" s="550" t="s">
        <v>178</v>
      </c>
      <c r="C310" s="854">
        <v>801655.19</v>
      </c>
      <c r="D310" s="848">
        <v>0.24752835442879059</v>
      </c>
      <c r="E310" s="807">
        <v>198432.38999999946</v>
      </c>
      <c r="F310" s="854">
        <v>14340.61</v>
      </c>
      <c r="G310" s="848">
        <v>0.27410479749466721</v>
      </c>
      <c r="H310" s="807">
        <v>3930.83</v>
      </c>
      <c r="I310" s="854">
        <v>25367.69</v>
      </c>
      <c r="J310" s="848">
        <v>0.28715976898172402</v>
      </c>
      <c r="K310" s="807">
        <v>7284.5799999999899</v>
      </c>
      <c r="L310" s="854">
        <v>33679.67</v>
      </c>
      <c r="M310" s="848">
        <v>0.25599716386769794</v>
      </c>
      <c r="N310" s="807">
        <v>8621.8999999999905</v>
      </c>
      <c r="O310" s="854">
        <v>112823.72</v>
      </c>
      <c r="P310" s="848">
        <v>0.23824653184631742</v>
      </c>
      <c r="Q310" s="807">
        <v>26879.86</v>
      </c>
      <c r="R310" s="854">
        <v>77451.34</v>
      </c>
      <c r="S310" s="848">
        <v>0.22690775911688424</v>
      </c>
      <c r="T310" s="807">
        <v>17574.309999999899</v>
      </c>
      <c r="U310" s="854">
        <v>46274.18</v>
      </c>
      <c r="V310" s="848">
        <v>0.24318291539688008</v>
      </c>
      <c r="W310" s="807">
        <v>11253.09</v>
      </c>
      <c r="X310" s="854">
        <v>50971.67</v>
      </c>
      <c r="Y310" s="848">
        <v>0.24610219755405111</v>
      </c>
      <c r="Z310" s="807">
        <v>12544.2399999999</v>
      </c>
      <c r="AA310" s="854">
        <v>44840.24</v>
      </c>
      <c r="AB310" s="848">
        <v>0.24863002517381486</v>
      </c>
      <c r="AC310" s="807">
        <v>11148.629999999899</v>
      </c>
      <c r="AD310" s="854">
        <v>54381.54</v>
      </c>
      <c r="AE310" s="848">
        <v>0.25736876888738347</v>
      </c>
      <c r="AF310" s="807">
        <v>13996.11</v>
      </c>
      <c r="AG310" s="854">
        <v>117139.92</v>
      </c>
      <c r="AH310" s="848">
        <v>0.25722093714935013</v>
      </c>
      <c r="AI310" s="807">
        <v>30130.839999999898</v>
      </c>
      <c r="AJ310" s="854">
        <v>162274.26</v>
      </c>
      <c r="AK310" s="848">
        <v>0.24469580080044734</v>
      </c>
      <c r="AL310" s="807">
        <v>39707.83</v>
      </c>
      <c r="AM310" s="854">
        <v>62110.35</v>
      </c>
      <c r="AN310" s="848">
        <v>0.24730451526999769</v>
      </c>
      <c r="AO310" s="807">
        <v>15360.1699999999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25">
      <c r="A311" s="540" t="str">
        <f t="shared" si="6"/>
        <v>PiècesHuiles et Graisse</v>
      </c>
      <c r="B311" s="610" t="s">
        <v>179</v>
      </c>
      <c r="C311" s="854">
        <v>132021.76999999999</v>
      </c>
      <c r="D311" s="848">
        <v>0.34740687085167832</v>
      </c>
      <c r="E311" s="807">
        <v>45865.269999999975</v>
      </c>
      <c r="F311" s="854">
        <v>8096.1399999999903</v>
      </c>
      <c r="G311" s="848">
        <v>0.31687816663249435</v>
      </c>
      <c r="H311" s="807">
        <v>2565.4899999999998</v>
      </c>
      <c r="I311" s="854">
        <v>9161.9</v>
      </c>
      <c r="J311" s="848">
        <v>0.35078095154935007</v>
      </c>
      <c r="K311" s="807">
        <v>3213.8199999999902</v>
      </c>
      <c r="L311" s="854">
        <v>7986.67</v>
      </c>
      <c r="M311" s="848">
        <v>0.3357845009246645</v>
      </c>
      <c r="N311" s="807">
        <v>2681.7999999999902</v>
      </c>
      <c r="O311" s="854">
        <v>11968.93</v>
      </c>
      <c r="P311" s="848">
        <v>0.34924341607812892</v>
      </c>
      <c r="Q311" s="807">
        <v>4180.07</v>
      </c>
      <c r="R311" s="854">
        <v>16379.65</v>
      </c>
      <c r="S311" s="848">
        <v>0.34580103970475562</v>
      </c>
      <c r="T311" s="807">
        <v>5664.1</v>
      </c>
      <c r="U311" s="854">
        <v>10745.01</v>
      </c>
      <c r="V311" s="848">
        <v>0.35992241980230821</v>
      </c>
      <c r="W311" s="807">
        <v>3867.37</v>
      </c>
      <c r="X311" s="854">
        <v>11531.75</v>
      </c>
      <c r="Y311" s="848">
        <v>0.33973854792204133</v>
      </c>
      <c r="Z311" s="807">
        <v>3917.78</v>
      </c>
      <c r="AA311" s="854">
        <v>10292.290000000001</v>
      </c>
      <c r="AB311" s="848">
        <v>0.34626016173271446</v>
      </c>
      <c r="AC311" s="807">
        <v>3563.81</v>
      </c>
      <c r="AD311" s="854">
        <v>8938.6</v>
      </c>
      <c r="AE311" s="848">
        <v>0.34318237755353187</v>
      </c>
      <c r="AF311" s="807">
        <v>3067.57</v>
      </c>
      <c r="AG311" s="854">
        <v>13999.09</v>
      </c>
      <c r="AH311" s="848">
        <v>0.35547453441616561</v>
      </c>
      <c r="AI311" s="807">
        <v>4976.32</v>
      </c>
      <c r="AJ311" s="854">
        <v>13794.31</v>
      </c>
      <c r="AK311" s="848">
        <v>0.35493402714597538</v>
      </c>
      <c r="AL311" s="807">
        <v>4896.07</v>
      </c>
      <c r="AM311" s="854">
        <v>9127.43</v>
      </c>
      <c r="AN311" s="848">
        <v>0.35837798810837224</v>
      </c>
      <c r="AO311" s="807">
        <v>3271.07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0.25">
      <c r="A312" s="540" t="str">
        <f t="shared" si="6"/>
        <v>PiècesSous-total Pièces et Acc.</v>
      </c>
      <c r="B312" s="620" t="s">
        <v>180</v>
      </c>
      <c r="C312" s="886">
        <v>3400398.919999999</v>
      </c>
      <c r="D312" s="887">
        <v>0.31341171288220443</v>
      </c>
      <c r="E312" s="888">
        <v>1065724.8499999978</v>
      </c>
      <c r="F312" s="886">
        <v>231857.31999999998</v>
      </c>
      <c r="G312" s="887">
        <v>0.29557686597947397</v>
      </c>
      <c r="H312" s="888">
        <v>68531.66</v>
      </c>
      <c r="I312" s="886">
        <v>180621.53999999978</v>
      </c>
      <c r="J312" s="887">
        <v>0.3111896842425329</v>
      </c>
      <c r="K312" s="888">
        <v>56207.559999999961</v>
      </c>
      <c r="L312" s="886">
        <v>218871.84</v>
      </c>
      <c r="M312" s="887">
        <v>0.38791235089904613</v>
      </c>
      <c r="N312" s="888">
        <v>84903.08999999988</v>
      </c>
      <c r="O312" s="886">
        <v>307892.45999999979</v>
      </c>
      <c r="P312" s="887">
        <v>0.27039340294335157</v>
      </c>
      <c r="Q312" s="888">
        <v>83252.089999999705</v>
      </c>
      <c r="R312" s="886">
        <v>357619.23999999987</v>
      </c>
      <c r="S312" s="887">
        <v>0.31907656869915568</v>
      </c>
      <c r="T312" s="888">
        <v>114107.91999999979</v>
      </c>
      <c r="U312" s="886">
        <v>265516.04999999987</v>
      </c>
      <c r="V312" s="887">
        <v>0.30553885537239628</v>
      </c>
      <c r="W312" s="888">
        <v>81125.469999999899</v>
      </c>
      <c r="X312" s="886">
        <v>289708.02</v>
      </c>
      <c r="Y312" s="887">
        <v>0.29424273446071603</v>
      </c>
      <c r="Z312" s="888">
        <v>85244.479999999807</v>
      </c>
      <c r="AA312" s="886">
        <v>222300.81999999992</v>
      </c>
      <c r="AB312" s="887">
        <v>0.32991673175114611</v>
      </c>
      <c r="AC312" s="888">
        <v>73340.759999999791</v>
      </c>
      <c r="AD312" s="886">
        <v>291496.04999999987</v>
      </c>
      <c r="AE312" s="887">
        <v>0.28838469680806905</v>
      </c>
      <c r="AF312" s="888">
        <v>84062.999999999694</v>
      </c>
      <c r="AG312" s="886">
        <v>350667.23999999993</v>
      </c>
      <c r="AH312" s="887">
        <v>0.32944323513083179</v>
      </c>
      <c r="AI312" s="888">
        <v>115524.94999999981</v>
      </c>
      <c r="AJ312" s="886">
        <v>446364.69</v>
      </c>
      <c r="AK312" s="887">
        <v>0.28782128801451534</v>
      </c>
      <c r="AL312" s="888">
        <v>128473.25999999986</v>
      </c>
      <c r="AM312" s="886">
        <v>237483.64999999991</v>
      </c>
      <c r="AN312" s="887">
        <v>0.38297630173698161</v>
      </c>
      <c r="AO312" s="888">
        <v>90950.609999999695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25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25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/>
      <c r="G314" s="890"/>
      <c r="H314" s="786"/>
      <c r="I314" s="785"/>
      <c r="J314" s="890"/>
      <c r="K314" s="786"/>
      <c r="L314" s="785"/>
      <c r="M314" s="890"/>
      <c r="N314" s="786"/>
      <c r="O314" s="785"/>
      <c r="P314" s="890"/>
      <c r="Q314" s="786"/>
      <c r="R314" s="785"/>
      <c r="S314" s="890"/>
      <c r="T314" s="786"/>
      <c r="U314" s="785"/>
      <c r="V314" s="890"/>
      <c r="W314" s="786"/>
      <c r="X314" s="785"/>
      <c r="Y314" s="890"/>
      <c r="Z314" s="786"/>
      <c r="AA314" s="785"/>
      <c r="AB314" s="890"/>
      <c r="AC314" s="786"/>
      <c r="AD314" s="785"/>
      <c r="AE314" s="890"/>
      <c r="AF314" s="786"/>
      <c r="AG314" s="785"/>
      <c r="AH314" s="890"/>
      <c r="AI314" s="786"/>
      <c r="AJ314" s="785"/>
      <c r="AK314" s="890"/>
      <c r="AL314" s="786"/>
      <c r="AM314" s="785"/>
      <c r="AN314" s="793"/>
      <c r="AO314" s="786"/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25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" thickTop="1">
      <c r="A317" s="540" t="str">
        <f t="shared" si="6"/>
        <v>PiècesTotal Dépt. Pièces</v>
      </c>
      <c r="B317" s="606" t="s">
        <v>182</v>
      </c>
      <c r="C317" s="795">
        <v>3400398.919999999</v>
      </c>
      <c r="D317" s="893">
        <v>0.31341171288220443</v>
      </c>
      <c r="E317" s="797">
        <v>1065724.8499999978</v>
      </c>
      <c r="F317" s="795">
        <v>231857.31999999998</v>
      </c>
      <c r="G317" s="893">
        <v>0.29557686597947397</v>
      </c>
      <c r="H317" s="797">
        <v>68531.66</v>
      </c>
      <c r="I317" s="795">
        <v>180621.53999999978</v>
      </c>
      <c r="J317" s="893">
        <v>0.3111896842425329</v>
      </c>
      <c r="K317" s="797">
        <v>56207.559999999961</v>
      </c>
      <c r="L317" s="795">
        <v>218871.84</v>
      </c>
      <c r="M317" s="893">
        <v>0.38791235089904613</v>
      </c>
      <c r="N317" s="797">
        <v>84903.08999999988</v>
      </c>
      <c r="O317" s="795">
        <v>307892.45999999979</v>
      </c>
      <c r="P317" s="893">
        <v>0.27039340294335157</v>
      </c>
      <c r="Q317" s="797">
        <v>83252.089999999705</v>
      </c>
      <c r="R317" s="795">
        <v>357619.23999999987</v>
      </c>
      <c r="S317" s="893">
        <v>0.31907656869915568</v>
      </c>
      <c r="T317" s="797">
        <v>114107.91999999979</v>
      </c>
      <c r="U317" s="795">
        <v>265516.04999999987</v>
      </c>
      <c r="V317" s="893">
        <v>0.30553885537239628</v>
      </c>
      <c r="W317" s="797">
        <v>81125.469999999899</v>
      </c>
      <c r="X317" s="795">
        <v>289708.02</v>
      </c>
      <c r="Y317" s="893">
        <v>0.29424273446071603</v>
      </c>
      <c r="Z317" s="797">
        <v>85244.479999999807</v>
      </c>
      <c r="AA317" s="795">
        <v>222300.81999999992</v>
      </c>
      <c r="AB317" s="893">
        <v>0.32991673175114611</v>
      </c>
      <c r="AC317" s="797">
        <v>73340.759999999791</v>
      </c>
      <c r="AD317" s="795">
        <v>291496.04999999987</v>
      </c>
      <c r="AE317" s="893">
        <v>0.28838469680806905</v>
      </c>
      <c r="AF317" s="797">
        <v>84062.999999999694</v>
      </c>
      <c r="AG317" s="795">
        <v>350667.23999999993</v>
      </c>
      <c r="AH317" s="893">
        <v>0.32944323513083179</v>
      </c>
      <c r="AI317" s="797">
        <v>115524.94999999981</v>
      </c>
      <c r="AJ317" s="795">
        <v>446364.69</v>
      </c>
      <c r="AK317" s="893">
        <v>0.28782128801451534</v>
      </c>
      <c r="AL317" s="797">
        <v>128473.25999999986</v>
      </c>
      <c r="AM317" s="795">
        <v>237483.64999999991</v>
      </c>
      <c r="AN317" s="893">
        <v>0.38297630173698161</v>
      </c>
      <c r="AO317" s="797">
        <v>90950.609999999695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0.25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25">
      <c r="A321" s="540" t="str">
        <f t="shared" si="6"/>
        <v>PiècesSalaires cadres</v>
      </c>
      <c r="B321" s="626" t="s">
        <v>109</v>
      </c>
      <c r="C321" s="785"/>
      <c r="D321" s="793"/>
      <c r="E321" s="807">
        <v>38915.579999999994</v>
      </c>
      <c r="F321" s="785"/>
      <c r="G321" s="793"/>
      <c r="H321" s="807">
        <v>4331.03</v>
      </c>
      <c r="I321" s="785"/>
      <c r="J321" s="793"/>
      <c r="K321" s="807">
        <v>3422.83</v>
      </c>
      <c r="L321" s="785"/>
      <c r="M321" s="793"/>
      <c r="N321" s="807">
        <v>3526.86</v>
      </c>
      <c r="O321" s="785"/>
      <c r="P321" s="793"/>
      <c r="Q321" s="807">
        <v>3659.46</v>
      </c>
      <c r="R321" s="785"/>
      <c r="S321" s="793"/>
      <c r="T321" s="807">
        <v>4172.8</v>
      </c>
      <c r="U321" s="785"/>
      <c r="V321" s="793"/>
      <c r="W321" s="807">
        <v>3141.4</v>
      </c>
      <c r="X321" s="785"/>
      <c r="Y321" s="793"/>
      <c r="Z321" s="807">
        <v>3570.2</v>
      </c>
      <c r="AA321" s="785"/>
      <c r="AB321" s="793"/>
      <c r="AC321" s="807">
        <v>2914.2</v>
      </c>
      <c r="AD321" s="785"/>
      <c r="AE321" s="793"/>
      <c r="AF321" s="807">
        <v>2874.2</v>
      </c>
      <c r="AG321" s="785"/>
      <c r="AH321" s="793"/>
      <c r="AI321" s="807">
        <v>2434.1999999999998</v>
      </c>
      <c r="AJ321" s="785"/>
      <c r="AK321" s="793"/>
      <c r="AL321" s="807">
        <v>2434.1999999999998</v>
      </c>
      <c r="AM321" s="785"/>
      <c r="AN321" s="793"/>
      <c r="AO321" s="807">
        <v>2434.1999999999998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25">
      <c r="A322" s="540" t="str">
        <f t="shared" si="6"/>
        <v>PiècesSalaires commis</v>
      </c>
      <c r="B322" s="629" t="s">
        <v>110</v>
      </c>
      <c r="C322" s="785"/>
      <c r="D322" s="793"/>
      <c r="E322" s="807">
        <v>32563.379999999994</v>
      </c>
      <c r="F322" s="785"/>
      <c r="G322" s="793"/>
      <c r="H322" s="807">
        <v>2243.3200000000002</v>
      </c>
      <c r="I322" s="785"/>
      <c r="J322" s="793"/>
      <c r="K322" s="807">
        <v>2813.24</v>
      </c>
      <c r="L322" s="785"/>
      <c r="M322" s="793"/>
      <c r="N322" s="807">
        <v>2562</v>
      </c>
      <c r="O322" s="785"/>
      <c r="P322" s="793"/>
      <c r="Q322" s="807">
        <v>2411.1999999999998</v>
      </c>
      <c r="R322" s="785"/>
      <c r="S322" s="793"/>
      <c r="T322" s="807">
        <v>3155.8</v>
      </c>
      <c r="U322" s="785"/>
      <c r="V322" s="793"/>
      <c r="W322" s="807">
        <v>2723.56</v>
      </c>
      <c r="X322" s="785"/>
      <c r="Y322" s="793"/>
      <c r="Z322" s="807">
        <v>2569.71</v>
      </c>
      <c r="AA322" s="785"/>
      <c r="AB322" s="793"/>
      <c r="AC322" s="807">
        <v>2587.2800000000002</v>
      </c>
      <c r="AD322" s="785"/>
      <c r="AE322" s="793"/>
      <c r="AF322" s="807">
        <v>2859.6</v>
      </c>
      <c r="AG322" s="785"/>
      <c r="AH322" s="793"/>
      <c r="AI322" s="807">
        <v>3027.72</v>
      </c>
      <c r="AJ322" s="785"/>
      <c r="AK322" s="793"/>
      <c r="AL322" s="807">
        <v>2811.6</v>
      </c>
      <c r="AM322" s="785"/>
      <c r="AN322" s="793"/>
      <c r="AO322" s="807">
        <v>2798.35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25">
      <c r="A323" s="540" t="str">
        <f t="shared" si="6"/>
        <v>PiècesSalaires autres</v>
      </c>
      <c r="B323" s="626" t="s">
        <v>111</v>
      </c>
      <c r="C323" s="815"/>
      <c r="D323" s="816"/>
      <c r="E323" s="817">
        <v>155162.27999999997</v>
      </c>
      <c r="F323" s="815"/>
      <c r="G323" s="816"/>
      <c r="H323" s="817">
        <v>12693.87</v>
      </c>
      <c r="I323" s="815"/>
      <c r="J323" s="816"/>
      <c r="K323" s="817">
        <v>10228.16</v>
      </c>
      <c r="L323" s="815"/>
      <c r="M323" s="816"/>
      <c r="N323" s="817">
        <v>12085.48</v>
      </c>
      <c r="O323" s="815"/>
      <c r="P323" s="816"/>
      <c r="Q323" s="817">
        <v>14885.99</v>
      </c>
      <c r="R323" s="815"/>
      <c r="S323" s="816"/>
      <c r="T323" s="817">
        <v>13222.15</v>
      </c>
      <c r="U323" s="815"/>
      <c r="V323" s="816"/>
      <c r="W323" s="817">
        <v>10283.9</v>
      </c>
      <c r="X323" s="815"/>
      <c r="Y323" s="816"/>
      <c r="Z323" s="817">
        <v>11959.8</v>
      </c>
      <c r="AA323" s="815"/>
      <c r="AB323" s="816"/>
      <c r="AC323" s="817">
        <v>8667.3700000000008</v>
      </c>
      <c r="AD323" s="815"/>
      <c r="AE323" s="816"/>
      <c r="AF323" s="817">
        <v>15432.58</v>
      </c>
      <c r="AG323" s="815"/>
      <c r="AH323" s="816"/>
      <c r="AI323" s="817">
        <v>15276.95</v>
      </c>
      <c r="AJ323" s="815"/>
      <c r="AK323" s="816"/>
      <c r="AL323" s="817">
        <v>16511.98</v>
      </c>
      <c r="AM323" s="815"/>
      <c r="AN323" s="816"/>
      <c r="AO323" s="817">
        <v>13914.05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25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25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25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25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25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30666.159999999996</v>
      </c>
      <c r="F328" s="785"/>
      <c r="G328" s="793"/>
      <c r="H328" s="807">
        <v>2615.91</v>
      </c>
      <c r="I328" s="785"/>
      <c r="J328" s="793"/>
      <c r="K328" s="807">
        <v>5357.07</v>
      </c>
      <c r="L328" s="785"/>
      <c r="M328" s="793"/>
      <c r="N328" s="807">
        <v>1322.64</v>
      </c>
      <c r="O328" s="785"/>
      <c r="P328" s="793"/>
      <c r="Q328" s="807">
        <v>1471.97</v>
      </c>
      <c r="R328" s="785"/>
      <c r="S328" s="793"/>
      <c r="T328" s="807">
        <v>4672.66</v>
      </c>
      <c r="U328" s="785"/>
      <c r="V328" s="793"/>
      <c r="W328" s="807">
        <v>1995.77</v>
      </c>
      <c r="X328" s="785"/>
      <c r="Y328" s="793"/>
      <c r="Z328" s="807">
        <v>2136.89</v>
      </c>
      <c r="AA328" s="785"/>
      <c r="AB328" s="793"/>
      <c r="AC328" s="807">
        <v>2599.09</v>
      </c>
      <c r="AD328" s="785"/>
      <c r="AE328" s="793"/>
      <c r="AF328" s="807">
        <v>2251.85</v>
      </c>
      <c r="AG328" s="785"/>
      <c r="AH328" s="793"/>
      <c r="AI328" s="807">
        <v>1843.89</v>
      </c>
      <c r="AJ328" s="785"/>
      <c r="AK328" s="793"/>
      <c r="AL328" s="807">
        <v>2596.4299999999998</v>
      </c>
      <c r="AM328" s="785"/>
      <c r="AN328" s="793"/>
      <c r="AO328" s="807">
        <v>1801.99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25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40449.560000000005</v>
      </c>
      <c r="F329" s="815"/>
      <c r="G329" s="816"/>
      <c r="H329" s="817">
        <v>3854.31</v>
      </c>
      <c r="I329" s="815"/>
      <c r="J329" s="816"/>
      <c r="K329" s="817">
        <v>3085.95</v>
      </c>
      <c r="L329" s="815"/>
      <c r="M329" s="816"/>
      <c r="N329" s="817">
        <v>3352.59</v>
      </c>
      <c r="O329" s="815"/>
      <c r="P329" s="816"/>
      <c r="Q329" s="817">
        <v>3611.05</v>
      </c>
      <c r="R329" s="815"/>
      <c r="S329" s="816"/>
      <c r="T329" s="817">
        <v>3821.73</v>
      </c>
      <c r="U329" s="815"/>
      <c r="V329" s="816"/>
      <c r="W329" s="817">
        <v>3366.27</v>
      </c>
      <c r="X329" s="815"/>
      <c r="Y329" s="816"/>
      <c r="Z329" s="817">
        <v>3586.9</v>
      </c>
      <c r="AA329" s="815"/>
      <c r="AB329" s="816"/>
      <c r="AC329" s="817">
        <v>3793.66</v>
      </c>
      <c r="AD329" s="815"/>
      <c r="AE329" s="816"/>
      <c r="AF329" s="817">
        <v>3116.71</v>
      </c>
      <c r="AG329" s="815"/>
      <c r="AH329" s="816"/>
      <c r="AI329" s="817">
        <v>3045.94</v>
      </c>
      <c r="AJ329" s="815"/>
      <c r="AK329" s="816"/>
      <c r="AL329" s="817">
        <v>2755.91</v>
      </c>
      <c r="AM329" s="815"/>
      <c r="AN329" s="816"/>
      <c r="AO329" s="817">
        <v>3058.54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25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20175.999999999996</v>
      </c>
      <c r="F330" s="785"/>
      <c r="G330" s="793"/>
      <c r="H330" s="807">
        <v>1790.74</v>
      </c>
      <c r="I330" s="785"/>
      <c r="J330" s="793"/>
      <c r="K330" s="807">
        <v>2222.61</v>
      </c>
      <c r="L330" s="785"/>
      <c r="M330" s="793"/>
      <c r="N330" s="807">
        <v>1626.73</v>
      </c>
      <c r="O330" s="785"/>
      <c r="P330" s="793"/>
      <c r="Q330" s="807">
        <v>1729.64</v>
      </c>
      <c r="R330" s="785"/>
      <c r="S330" s="793"/>
      <c r="T330" s="807">
        <v>1865.62</v>
      </c>
      <c r="U330" s="785"/>
      <c r="V330" s="793"/>
      <c r="W330" s="807">
        <v>1348.9</v>
      </c>
      <c r="X330" s="785"/>
      <c r="Y330" s="793"/>
      <c r="Z330" s="807">
        <v>1863.62</v>
      </c>
      <c r="AA330" s="785"/>
      <c r="AB330" s="793"/>
      <c r="AC330" s="807">
        <v>1958.57</v>
      </c>
      <c r="AD330" s="785"/>
      <c r="AE330" s="793"/>
      <c r="AF330" s="807">
        <v>1575.29</v>
      </c>
      <c r="AG330" s="785"/>
      <c r="AH330" s="793"/>
      <c r="AI330" s="807">
        <v>1781.51</v>
      </c>
      <c r="AJ330" s="785"/>
      <c r="AK330" s="793"/>
      <c r="AL330" s="807">
        <v>735.92</v>
      </c>
      <c r="AM330" s="785"/>
      <c r="AN330" s="793"/>
      <c r="AO330" s="807">
        <v>1676.85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25">
      <c r="A331" s="540" t="str">
        <f t="shared" si="6"/>
        <v>PiècesCsst</v>
      </c>
      <c r="B331" s="626" t="s">
        <v>116</v>
      </c>
      <c r="C331" s="785"/>
      <c r="D331" s="793"/>
      <c r="E331" s="807">
        <v>3409.29</v>
      </c>
      <c r="F331" s="785"/>
      <c r="G331" s="793"/>
      <c r="H331" s="807">
        <v>360.2</v>
      </c>
      <c r="I331" s="785"/>
      <c r="J331" s="793"/>
      <c r="K331" s="807">
        <v>559.98</v>
      </c>
      <c r="L331" s="785"/>
      <c r="M331" s="793"/>
      <c r="N331" s="807">
        <v>275.11</v>
      </c>
      <c r="O331" s="785"/>
      <c r="P331" s="793"/>
      <c r="Q331" s="807">
        <v>384.94</v>
      </c>
      <c r="R331" s="785"/>
      <c r="S331" s="793"/>
      <c r="T331" s="807">
        <v>335.55</v>
      </c>
      <c r="U331" s="785"/>
      <c r="V331" s="793"/>
      <c r="W331" s="807">
        <v>272.83</v>
      </c>
      <c r="X331" s="785"/>
      <c r="Y331" s="793"/>
      <c r="Z331" s="807">
        <v>-102.83</v>
      </c>
      <c r="AA331" s="785"/>
      <c r="AB331" s="793"/>
      <c r="AC331" s="807">
        <v>327.83</v>
      </c>
      <c r="AD331" s="785"/>
      <c r="AE331" s="793"/>
      <c r="AF331" s="807">
        <v>243.37</v>
      </c>
      <c r="AG331" s="785"/>
      <c r="AH331" s="793"/>
      <c r="AI331" s="807">
        <v>280.26</v>
      </c>
      <c r="AJ331" s="785"/>
      <c r="AK331" s="793"/>
      <c r="AL331" s="807">
        <v>256.94</v>
      </c>
      <c r="AM331" s="785"/>
      <c r="AN331" s="793"/>
      <c r="AO331" s="807">
        <v>215.11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25">
      <c r="A332" s="540" t="str">
        <f t="shared" si="6"/>
        <v>Pièces[...]</v>
      </c>
      <c r="B332" s="550" t="s">
        <v>42</v>
      </c>
      <c r="C332" s="811"/>
      <c r="D332" s="818"/>
      <c r="E332" s="819"/>
      <c r="F332" s="811"/>
      <c r="G332" s="818"/>
      <c r="H332" s="819"/>
      <c r="I332" s="811"/>
      <c r="J332" s="818"/>
      <c r="K332" s="819"/>
      <c r="L332" s="811"/>
      <c r="M332" s="818"/>
      <c r="N332" s="819"/>
      <c r="O332" s="811"/>
      <c r="P332" s="818"/>
      <c r="Q332" s="819"/>
      <c r="R332" s="811"/>
      <c r="S332" s="818"/>
      <c r="T332" s="819"/>
      <c r="U332" s="811"/>
      <c r="V332" s="818"/>
      <c r="W332" s="819"/>
      <c r="X332" s="811"/>
      <c r="Y332" s="818"/>
      <c r="Z332" s="819"/>
      <c r="AA332" s="811"/>
      <c r="AB332" s="818"/>
      <c r="AC332" s="819"/>
      <c r="AD332" s="811"/>
      <c r="AE332" s="818"/>
      <c r="AF332" s="819"/>
      <c r="AG332" s="811"/>
      <c r="AH332" s="818"/>
      <c r="AI332" s="819"/>
      <c r="AJ332" s="811"/>
      <c r="AK332" s="818"/>
      <c r="AL332" s="819"/>
      <c r="AM332" s="811"/>
      <c r="AN332" s="818"/>
      <c r="AO332" s="819"/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0.25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0.30152459145529037</v>
      </c>
      <c r="E333" s="814">
        <v>321342.24999999994</v>
      </c>
      <c r="F333" s="812"/>
      <c r="G333" s="813"/>
      <c r="H333" s="814">
        <v>27889.38</v>
      </c>
      <c r="I333" s="812"/>
      <c r="J333" s="813"/>
      <c r="K333" s="814">
        <v>27689.84</v>
      </c>
      <c r="L333" s="812"/>
      <c r="M333" s="813"/>
      <c r="N333" s="814">
        <v>24751.41</v>
      </c>
      <c r="O333" s="812"/>
      <c r="P333" s="813"/>
      <c r="Q333" s="814">
        <v>28154.25</v>
      </c>
      <c r="R333" s="812"/>
      <c r="S333" s="813"/>
      <c r="T333" s="814">
        <v>31246.309999999899</v>
      </c>
      <c r="U333" s="812"/>
      <c r="V333" s="813"/>
      <c r="W333" s="814">
        <v>23132.63</v>
      </c>
      <c r="X333" s="812"/>
      <c r="Y333" s="813"/>
      <c r="Z333" s="814">
        <v>25584.289999999899</v>
      </c>
      <c r="AA333" s="812"/>
      <c r="AB333" s="813"/>
      <c r="AC333" s="814">
        <v>22848</v>
      </c>
      <c r="AD333" s="812"/>
      <c r="AE333" s="813"/>
      <c r="AF333" s="814">
        <v>28353.5999999999</v>
      </c>
      <c r="AG333" s="812"/>
      <c r="AH333" s="813"/>
      <c r="AI333" s="814">
        <v>27690.469999999899</v>
      </c>
      <c r="AJ333" s="812"/>
      <c r="AK333" s="813"/>
      <c r="AL333" s="814">
        <v>28102.979999999901</v>
      </c>
      <c r="AM333" s="812"/>
      <c r="AN333" s="813"/>
      <c r="AO333" s="814">
        <v>25899.09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25">
      <c r="A334" s="540" t="str">
        <f t="shared" si="6"/>
        <v>PiècesPublicité 2</v>
      </c>
      <c r="B334" s="631" t="s">
        <v>118</v>
      </c>
      <c r="C334" s="785"/>
      <c r="D334" s="793"/>
      <c r="E334" s="807">
        <v>38906.42</v>
      </c>
      <c r="F334" s="785"/>
      <c r="G334" s="793"/>
      <c r="H334" s="807">
        <v>2222.83</v>
      </c>
      <c r="I334" s="785"/>
      <c r="J334" s="793"/>
      <c r="K334" s="807">
        <v>2223.3000000000002</v>
      </c>
      <c r="L334" s="785"/>
      <c r="M334" s="793"/>
      <c r="N334" s="807">
        <v>4000.83</v>
      </c>
      <c r="O334" s="785"/>
      <c r="P334" s="793"/>
      <c r="Q334" s="807">
        <v>3548.03</v>
      </c>
      <c r="R334" s="785"/>
      <c r="S334" s="793"/>
      <c r="T334" s="807">
        <v>3518.3</v>
      </c>
      <c r="U334" s="785"/>
      <c r="V334" s="793"/>
      <c r="W334" s="807">
        <v>2182.64</v>
      </c>
      <c r="X334" s="785"/>
      <c r="Y334" s="793"/>
      <c r="Z334" s="807">
        <v>2340.34</v>
      </c>
      <c r="AA334" s="785"/>
      <c r="AB334" s="793"/>
      <c r="AC334" s="807">
        <v>2058.5700000000002</v>
      </c>
      <c r="AD334" s="785"/>
      <c r="AE334" s="793"/>
      <c r="AF334" s="807">
        <v>3749.83</v>
      </c>
      <c r="AG334" s="785"/>
      <c r="AH334" s="793"/>
      <c r="AI334" s="807">
        <v>8006.57</v>
      </c>
      <c r="AJ334" s="785"/>
      <c r="AK334" s="793"/>
      <c r="AL334" s="807">
        <v>1451.71</v>
      </c>
      <c r="AM334" s="785"/>
      <c r="AN334" s="793"/>
      <c r="AO334" s="807">
        <v>3603.47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25">
      <c r="A335" s="540" t="str">
        <f t="shared" si="6"/>
        <v>PiècesService gratuit 2</v>
      </c>
      <c r="B335" s="626" t="s">
        <v>119</v>
      </c>
      <c r="C335" s="785"/>
      <c r="D335" s="793"/>
      <c r="E335" s="807">
        <v>7545.0999999999985</v>
      </c>
      <c r="F335" s="785"/>
      <c r="G335" s="793"/>
      <c r="H335" s="807">
        <v>196.66</v>
      </c>
      <c r="I335" s="785"/>
      <c r="J335" s="793"/>
      <c r="K335" s="807">
        <v>1235.32</v>
      </c>
      <c r="L335" s="785"/>
      <c r="M335" s="793"/>
      <c r="N335" s="807">
        <v>785.17</v>
      </c>
      <c r="O335" s="785"/>
      <c r="P335" s="793"/>
      <c r="Q335" s="807">
        <v>2876.94</v>
      </c>
      <c r="R335" s="785"/>
      <c r="S335" s="793"/>
      <c r="T335" s="807">
        <v>385.10999999999899</v>
      </c>
      <c r="U335" s="785"/>
      <c r="V335" s="793"/>
      <c r="W335" s="807">
        <v>118.54</v>
      </c>
      <c r="X335" s="785"/>
      <c r="Y335" s="793"/>
      <c r="Z335" s="807">
        <v>191.63</v>
      </c>
      <c r="AA335" s="785"/>
      <c r="AB335" s="793"/>
      <c r="AC335" s="807">
        <v>36.74</v>
      </c>
      <c r="AD335" s="785"/>
      <c r="AE335" s="793"/>
      <c r="AF335" s="807">
        <v>363.51</v>
      </c>
      <c r="AG335" s="785"/>
      <c r="AH335" s="793"/>
      <c r="AI335" s="807">
        <v>569.41</v>
      </c>
      <c r="AJ335" s="785"/>
      <c r="AK335" s="793"/>
      <c r="AL335" s="807">
        <v>817.42</v>
      </c>
      <c r="AM335" s="785"/>
      <c r="AN335" s="793"/>
      <c r="AO335" s="807">
        <v>-31.35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25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57108.679999999986</v>
      </c>
      <c r="F336" s="811"/>
      <c r="G336" s="818"/>
      <c r="H336" s="810">
        <v>3225.72999999999</v>
      </c>
      <c r="I336" s="811"/>
      <c r="J336" s="818"/>
      <c r="K336" s="810">
        <v>4305.53</v>
      </c>
      <c r="L336" s="811"/>
      <c r="M336" s="818"/>
      <c r="N336" s="810">
        <v>2473.94</v>
      </c>
      <c r="O336" s="811"/>
      <c r="P336" s="818"/>
      <c r="Q336" s="810">
        <v>4303.67</v>
      </c>
      <c r="R336" s="811"/>
      <c r="S336" s="818"/>
      <c r="T336" s="810">
        <v>4525.33</v>
      </c>
      <c r="U336" s="811"/>
      <c r="V336" s="818"/>
      <c r="W336" s="810">
        <v>4832.04</v>
      </c>
      <c r="X336" s="811"/>
      <c r="Y336" s="818"/>
      <c r="Z336" s="810">
        <v>6202.11</v>
      </c>
      <c r="AA336" s="811"/>
      <c r="AB336" s="818"/>
      <c r="AC336" s="810">
        <v>5126.7299999999996</v>
      </c>
      <c r="AD336" s="811"/>
      <c r="AE336" s="818"/>
      <c r="AF336" s="810">
        <v>4089.76</v>
      </c>
      <c r="AG336" s="811"/>
      <c r="AH336" s="818"/>
      <c r="AI336" s="810">
        <v>5082.68</v>
      </c>
      <c r="AJ336" s="811"/>
      <c r="AK336" s="818"/>
      <c r="AL336" s="810">
        <v>6702.78999999999</v>
      </c>
      <c r="AM336" s="811"/>
      <c r="AN336" s="818"/>
      <c r="AO336" s="810">
        <v>6238.37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25">
      <c r="A337" s="540" t="str">
        <f t="shared" si="6"/>
        <v>PiècesInformatique</v>
      </c>
      <c r="B337" s="626" t="s">
        <v>121</v>
      </c>
      <c r="C337" s="785"/>
      <c r="D337" s="793"/>
      <c r="E337" s="807">
        <v>21479.54</v>
      </c>
      <c r="F337" s="785"/>
      <c r="G337" s="793"/>
      <c r="H337" s="807">
        <v>1928.89</v>
      </c>
      <c r="I337" s="785"/>
      <c r="J337" s="793"/>
      <c r="K337" s="807">
        <v>1666.09</v>
      </c>
      <c r="L337" s="785"/>
      <c r="M337" s="793"/>
      <c r="N337" s="807">
        <v>1666.09</v>
      </c>
      <c r="O337" s="785"/>
      <c r="P337" s="793"/>
      <c r="Q337" s="807">
        <v>1777.19</v>
      </c>
      <c r="R337" s="785"/>
      <c r="S337" s="793"/>
      <c r="T337" s="807">
        <v>1829.89</v>
      </c>
      <c r="U337" s="785"/>
      <c r="V337" s="793"/>
      <c r="W337" s="807">
        <v>1709.27</v>
      </c>
      <c r="X337" s="785"/>
      <c r="Y337" s="793"/>
      <c r="Z337" s="807">
        <v>1779.49</v>
      </c>
      <c r="AA337" s="785"/>
      <c r="AB337" s="793"/>
      <c r="AC337" s="807">
        <v>1769.38</v>
      </c>
      <c r="AD337" s="785"/>
      <c r="AE337" s="793"/>
      <c r="AF337" s="807">
        <v>1666.09</v>
      </c>
      <c r="AG337" s="785"/>
      <c r="AH337" s="793"/>
      <c r="AI337" s="807">
        <v>2020.06</v>
      </c>
      <c r="AJ337" s="785"/>
      <c r="AK337" s="793"/>
      <c r="AL337" s="807">
        <v>1717.09</v>
      </c>
      <c r="AM337" s="785"/>
      <c r="AN337" s="793"/>
      <c r="AO337" s="807">
        <v>1950.01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25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2754.8900000000003</v>
      </c>
      <c r="F338" s="785"/>
      <c r="G338" s="793"/>
      <c r="H338" s="807">
        <v>255.57</v>
      </c>
      <c r="I338" s="785"/>
      <c r="J338" s="793"/>
      <c r="K338" s="807">
        <v>178.22</v>
      </c>
      <c r="L338" s="785"/>
      <c r="M338" s="793"/>
      <c r="N338" s="807">
        <v>653.71</v>
      </c>
      <c r="O338" s="785"/>
      <c r="P338" s="793"/>
      <c r="Q338" s="807">
        <v>626.54</v>
      </c>
      <c r="R338" s="785"/>
      <c r="S338" s="793"/>
      <c r="T338" s="807">
        <v>167.9</v>
      </c>
      <c r="U338" s="785"/>
      <c r="V338" s="793"/>
      <c r="W338" s="807">
        <v>146.58000000000001</v>
      </c>
      <c r="X338" s="785"/>
      <c r="Y338" s="793"/>
      <c r="Z338" s="807">
        <v>-560.88</v>
      </c>
      <c r="AA338" s="785"/>
      <c r="AB338" s="793"/>
      <c r="AC338" s="807">
        <v>322.51</v>
      </c>
      <c r="AD338" s="785"/>
      <c r="AE338" s="793"/>
      <c r="AF338" s="807">
        <v>382.29</v>
      </c>
      <c r="AG338" s="785"/>
      <c r="AH338" s="793"/>
      <c r="AI338" s="807">
        <v>447.99</v>
      </c>
      <c r="AJ338" s="785"/>
      <c r="AK338" s="793"/>
      <c r="AL338" s="807">
        <v>141.25</v>
      </c>
      <c r="AM338" s="785"/>
      <c r="AN338" s="793"/>
      <c r="AO338" s="807">
        <v>-6.79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25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21588.270000000004</v>
      </c>
      <c r="F339" s="811"/>
      <c r="G339" s="818"/>
      <c r="H339" s="810">
        <v>1960.51</v>
      </c>
      <c r="I339" s="811"/>
      <c r="J339" s="818"/>
      <c r="K339" s="810">
        <v>1937.66</v>
      </c>
      <c r="L339" s="811"/>
      <c r="M339" s="818"/>
      <c r="N339" s="810">
        <v>1429.79</v>
      </c>
      <c r="O339" s="811"/>
      <c r="P339" s="818"/>
      <c r="Q339" s="810">
        <v>1731.92</v>
      </c>
      <c r="R339" s="811"/>
      <c r="S339" s="818"/>
      <c r="T339" s="810">
        <v>2176.35</v>
      </c>
      <c r="U339" s="811"/>
      <c r="V339" s="818"/>
      <c r="W339" s="810">
        <v>1830.59</v>
      </c>
      <c r="X339" s="811"/>
      <c r="Y339" s="818"/>
      <c r="Z339" s="810">
        <v>1704.23</v>
      </c>
      <c r="AA339" s="811"/>
      <c r="AB339" s="818"/>
      <c r="AC339" s="810">
        <v>1588.64</v>
      </c>
      <c r="AD339" s="811"/>
      <c r="AE339" s="818"/>
      <c r="AF339" s="810">
        <v>1717.76</v>
      </c>
      <c r="AG339" s="811"/>
      <c r="AH339" s="818"/>
      <c r="AI339" s="810">
        <v>1469.98</v>
      </c>
      <c r="AJ339" s="811"/>
      <c r="AK339" s="818"/>
      <c r="AL339" s="810">
        <v>1813.58</v>
      </c>
      <c r="AM339" s="811"/>
      <c r="AN339" s="818"/>
      <c r="AO339" s="810">
        <v>2227.2600000000002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25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25">
      <c r="A341" s="540" t="str">
        <f t="shared" si="6"/>
        <v>PiècesFournitures autres</v>
      </c>
      <c r="B341" s="632" t="s">
        <v>124</v>
      </c>
      <c r="C341" s="785"/>
      <c r="D341" s="793"/>
      <c r="E341" s="807">
        <v>289.81</v>
      </c>
      <c r="F341" s="785"/>
      <c r="G341" s="793"/>
      <c r="H341" s="807">
        <v>1.25</v>
      </c>
      <c r="I341" s="785"/>
      <c r="J341" s="793"/>
      <c r="K341" s="807">
        <v>0</v>
      </c>
      <c r="L341" s="785"/>
      <c r="M341" s="793"/>
      <c r="N341" s="807">
        <v>0</v>
      </c>
      <c r="O341" s="785"/>
      <c r="P341" s="793"/>
      <c r="Q341" s="807">
        <v>0</v>
      </c>
      <c r="R341" s="785"/>
      <c r="S341" s="793"/>
      <c r="T341" s="807">
        <v>0</v>
      </c>
      <c r="U341" s="785"/>
      <c r="V341" s="793"/>
      <c r="W341" s="807">
        <v>0</v>
      </c>
      <c r="X341" s="785"/>
      <c r="Y341" s="793"/>
      <c r="Z341" s="807">
        <v>0</v>
      </c>
      <c r="AA341" s="785"/>
      <c r="AB341" s="793"/>
      <c r="AC341" s="807">
        <v>0</v>
      </c>
      <c r="AD341" s="785"/>
      <c r="AE341" s="793"/>
      <c r="AF341" s="807">
        <v>0</v>
      </c>
      <c r="AG341" s="785"/>
      <c r="AH341" s="793"/>
      <c r="AI341" s="807">
        <v>1.75</v>
      </c>
      <c r="AJ341" s="785"/>
      <c r="AK341" s="793"/>
      <c r="AL341" s="807">
        <v>70.61</v>
      </c>
      <c r="AM341" s="785"/>
      <c r="AN341" s="793"/>
      <c r="AO341" s="807">
        <v>216.2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25">
      <c r="A342" s="540" t="str">
        <f t="shared" si="6"/>
        <v>PiècesUniformes</v>
      </c>
      <c r="B342" s="626" t="s">
        <v>125</v>
      </c>
      <c r="C342" s="785"/>
      <c r="D342" s="793"/>
      <c r="E342" s="807">
        <v>184.7</v>
      </c>
      <c r="F342" s="785"/>
      <c r="G342" s="793"/>
      <c r="H342" s="807">
        <v>0</v>
      </c>
      <c r="I342" s="785"/>
      <c r="J342" s="793"/>
      <c r="K342" s="807">
        <v>0</v>
      </c>
      <c r="L342" s="785"/>
      <c r="M342" s="793"/>
      <c r="N342" s="807">
        <v>0</v>
      </c>
      <c r="O342" s="785"/>
      <c r="P342" s="793"/>
      <c r="Q342" s="807">
        <v>0</v>
      </c>
      <c r="R342" s="785"/>
      <c r="S342" s="793"/>
      <c r="T342" s="807">
        <v>0</v>
      </c>
      <c r="U342" s="785"/>
      <c r="V342" s="793"/>
      <c r="W342" s="807">
        <v>34.700000000000003</v>
      </c>
      <c r="X342" s="785"/>
      <c r="Y342" s="793"/>
      <c r="Z342" s="807">
        <v>40</v>
      </c>
      <c r="AA342" s="785"/>
      <c r="AB342" s="793"/>
      <c r="AC342" s="807">
        <v>110</v>
      </c>
      <c r="AD342" s="785"/>
      <c r="AE342" s="793"/>
      <c r="AF342" s="807">
        <v>0</v>
      </c>
      <c r="AG342" s="785"/>
      <c r="AH342" s="793"/>
      <c r="AI342" s="807">
        <v>0</v>
      </c>
      <c r="AJ342" s="785"/>
      <c r="AK342" s="793"/>
      <c r="AL342" s="807">
        <v>0</v>
      </c>
      <c r="AM342" s="785"/>
      <c r="AN342" s="793"/>
      <c r="AO342" s="807">
        <v>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25">
      <c r="A343" s="540" t="str">
        <f t="shared" si="6"/>
        <v>PiècesPapeterie</v>
      </c>
      <c r="B343" s="626" t="s">
        <v>126</v>
      </c>
      <c r="C343" s="785"/>
      <c r="D343" s="793"/>
      <c r="E343" s="807">
        <v>3535.99</v>
      </c>
      <c r="F343" s="785"/>
      <c r="G343" s="793"/>
      <c r="H343" s="807">
        <v>769.81</v>
      </c>
      <c r="I343" s="785"/>
      <c r="J343" s="793"/>
      <c r="K343" s="807">
        <v>278.93</v>
      </c>
      <c r="L343" s="785"/>
      <c r="M343" s="793"/>
      <c r="N343" s="807">
        <v>70.069999999999993</v>
      </c>
      <c r="O343" s="785"/>
      <c r="P343" s="793"/>
      <c r="Q343" s="807">
        <v>183.86</v>
      </c>
      <c r="R343" s="785"/>
      <c r="S343" s="793"/>
      <c r="T343" s="807">
        <v>305.52999999999997</v>
      </c>
      <c r="U343" s="785"/>
      <c r="V343" s="793"/>
      <c r="W343" s="807">
        <v>223.46</v>
      </c>
      <c r="X343" s="785"/>
      <c r="Y343" s="793"/>
      <c r="Z343" s="807">
        <v>333.92</v>
      </c>
      <c r="AA343" s="785"/>
      <c r="AB343" s="793"/>
      <c r="AC343" s="807">
        <v>393.25</v>
      </c>
      <c r="AD343" s="785"/>
      <c r="AE343" s="793"/>
      <c r="AF343" s="807">
        <v>153.65</v>
      </c>
      <c r="AG343" s="785"/>
      <c r="AH343" s="793"/>
      <c r="AI343" s="807">
        <v>380.76</v>
      </c>
      <c r="AJ343" s="785"/>
      <c r="AK343" s="793"/>
      <c r="AL343" s="807">
        <v>227.93</v>
      </c>
      <c r="AM343" s="785"/>
      <c r="AN343" s="793"/>
      <c r="AO343" s="807">
        <v>214.82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25">
      <c r="A344" s="540" t="str">
        <f t="shared" si="6"/>
        <v>PiècesTéléphone</v>
      </c>
      <c r="B344" s="626" t="s">
        <v>127</v>
      </c>
      <c r="C344" s="785"/>
      <c r="D344" s="793"/>
      <c r="E344" s="807">
        <v>1427.3799999999999</v>
      </c>
      <c r="F344" s="785"/>
      <c r="G344" s="793"/>
      <c r="H344" s="807">
        <v>105.38</v>
      </c>
      <c r="I344" s="785"/>
      <c r="J344" s="793"/>
      <c r="K344" s="807">
        <v>105.16</v>
      </c>
      <c r="L344" s="785"/>
      <c r="M344" s="793"/>
      <c r="N344" s="807">
        <v>131.69999999999999</v>
      </c>
      <c r="O344" s="785"/>
      <c r="P344" s="793"/>
      <c r="Q344" s="807">
        <v>119.64</v>
      </c>
      <c r="R344" s="785"/>
      <c r="S344" s="793"/>
      <c r="T344" s="807">
        <v>108.2</v>
      </c>
      <c r="U344" s="785"/>
      <c r="V344" s="793"/>
      <c r="W344" s="807">
        <v>165.65</v>
      </c>
      <c r="X344" s="785"/>
      <c r="Y344" s="793"/>
      <c r="Z344" s="807">
        <v>101.57</v>
      </c>
      <c r="AA344" s="785"/>
      <c r="AB344" s="793"/>
      <c r="AC344" s="807">
        <v>100.69</v>
      </c>
      <c r="AD344" s="785"/>
      <c r="AE344" s="793"/>
      <c r="AF344" s="807">
        <v>98.79</v>
      </c>
      <c r="AG344" s="785"/>
      <c r="AH344" s="793"/>
      <c r="AI344" s="807">
        <v>102.22</v>
      </c>
      <c r="AJ344" s="785"/>
      <c r="AK344" s="793"/>
      <c r="AL344" s="807">
        <v>186.34</v>
      </c>
      <c r="AM344" s="785"/>
      <c r="AN344" s="793"/>
      <c r="AO344" s="807">
        <v>102.04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25">
      <c r="A345" s="540" t="str">
        <f t="shared" si="6"/>
        <v>PiècesFrais postaux</v>
      </c>
      <c r="B345" s="626" t="s">
        <v>128</v>
      </c>
      <c r="C345" s="785"/>
      <c r="D345" s="793"/>
      <c r="E345" s="807">
        <v>6059.36</v>
      </c>
      <c r="F345" s="785"/>
      <c r="G345" s="793"/>
      <c r="H345" s="807">
        <v>792.78</v>
      </c>
      <c r="I345" s="785"/>
      <c r="J345" s="793"/>
      <c r="K345" s="807">
        <v>1053.94</v>
      </c>
      <c r="L345" s="785"/>
      <c r="M345" s="793"/>
      <c r="N345" s="807">
        <v>1276.42</v>
      </c>
      <c r="O345" s="785"/>
      <c r="P345" s="793"/>
      <c r="Q345" s="807">
        <v>910.18</v>
      </c>
      <c r="R345" s="785"/>
      <c r="S345" s="793"/>
      <c r="T345" s="807">
        <v>-739.36</v>
      </c>
      <c r="U345" s="785"/>
      <c r="V345" s="793"/>
      <c r="W345" s="807">
        <v>375.15</v>
      </c>
      <c r="X345" s="785"/>
      <c r="Y345" s="793"/>
      <c r="Z345" s="807">
        <v>-183.54</v>
      </c>
      <c r="AA345" s="785"/>
      <c r="AB345" s="793"/>
      <c r="AC345" s="807">
        <v>-432.3</v>
      </c>
      <c r="AD345" s="785"/>
      <c r="AE345" s="793"/>
      <c r="AF345" s="807">
        <v>829.87</v>
      </c>
      <c r="AG345" s="785"/>
      <c r="AH345" s="793"/>
      <c r="AI345" s="807">
        <v>1278.72</v>
      </c>
      <c r="AJ345" s="785"/>
      <c r="AK345" s="793"/>
      <c r="AL345" s="807">
        <v>383.89</v>
      </c>
      <c r="AM345" s="785"/>
      <c r="AN345" s="793"/>
      <c r="AO345" s="807">
        <v>513.61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25">
      <c r="A346" s="540" t="str">
        <f t="shared" si="6"/>
        <v>PiècesDivers</v>
      </c>
      <c r="B346" s="626" t="s">
        <v>129</v>
      </c>
      <c r="C346" s="785"/>
      <c r="D346" s="793"/>
      <c r="E346" s="807">
        <v>4033.7</v>
      </c>
      <c r="F346" s="785"/>
      <c r="G346" s="793"/>
      <c r="H346" s="807">
        <v>427.36</v>
      </c>
      <c r="I346" s="785"/>
      <c r="J346" s="793"/>
      <c r="K346" s="807">
        <v>290.3</v>
      </c>
      <c r="L346" s="785"/>
      <c r="M346" s="793"/>
      <c r="N346" s="807">
        <v>322.89999999999998</v>
      </c>
      <c r="O346" s="785"/>
      <c r="P346" s="793"/>
      <c r="Q346" s="807">
        <v>370.2</v>
      </c>
      <c r="R346" s="785"/>
      <c r="S346" s="793"/>
      <c r="T346" s="807">
        <v>289.2</v>
      </c>
      <c r="U346" s="785"/>
      <c r="V346" s="793"/>
      <c r="W346" s="807">
        <v>289.2</v>
      </c>
      <c r="X346" s="785"/>
      <c r="Y346" s="793"/>
      <c r="Z346" s="807">
        <v>289.2</v>
      </c>
      <c r="AA346" s="785"/>
      <c r="AB346" s="793"/>
      <c r="AC346" s="807">
        <v>370.2</v>
      </c>
      <c r="AD346" s="785"/>
      <c r="AE346" s="793"/>
      <c r="AF346" s="807">
        <v>289.2</v>
      </c>
      <c r="AG346" s="785"/>
      <c r="AH346" s="793"/>
      <c r="AI346" s="807">
        <v>289.2</v>
      </c>
      <c r="AJ346" s="785"/>
      <c r="AK346" s="793"/>
      <c r="AL346" s="807">
        <v>328.8</v>
      </c>
      <c r="AM346" s="785"/>
      <c r="AN346" s="793"/>
      <c r="AO346" s="807">
        <v>477.94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25">
      <c r="A347" s="540" t="str">
        <f t="shared" si="6"/>
        <v>PiècesFormation</v>
      </c>
      <c r="B347" s="626" t="s">
        <v>130</v>
      </c>
      <c r="C347" s="785"/>
      <c r="D347" s="793"/>
      <c r="E347" s="807">
        <v>788.81</v>
      </c>
      <c r="F347" s="785"/>
      <c r="G347" s="793"/>
      <c r="H347" s="807">
        <v>-565.47</v>
      </c>
      <c r="I347" s="785"/>
      <c r="J347" s="793"/>
      <c r="K347" s="807">
        <v>276.39</v>
      </c>
      <c r="L347" s="785"/>
      <c r="M347" s="793"/>
      <c r="N347" s="807">
        <v>311.14999999999998</v>
      </c>
      <c r="O347" s="785"/>
      <c r="P347" s="793"/>
      <c r="Q347" s="807">
        <v>130.77000000000001</v>
      </c>
      <c r="R347" s="785"/>
      <c r="S347" s="793"/>
      <c r="T347" s="807">
        <v>-397.61</v>
      </c>
      <c r="U347" s="785"/>
      <c r="V347" s="793"/>
      <c r="W347" s="807">
        <v>-21.47</v>
      </c>
      <c r="X347" s="785"/>
      <c r="Y347" s="793"/>
      <c r="Z347" s="807">
        <v>223.73</v>
      </c>
      <c r="AA347" s="785"/>
      <c r="AB347" s="793"/>
      <c r="AC347" s="807">
        <v>433.32</v>
      </c>
      <c r="AD347" s="785"/>
      <c r="AE347" s="793"/>
      <c r="AF347" s="807">
        <v>79.930000000000007</v>
      </c>
      <c r="AG347" s="785"/>
      <c r="AH347" s="793"/>
      <c r="AI347" s="807">
        <v>223.62</v>
      </c>
      <c r="AJ347" s="785"/>
      <c r="AK347" s="793"/>
      <c r="AL347" s="807">
        <v>-53</v>
      </c>
      <c r="AM347" s="785"/>
      <c r="AN347" s="793"/>
      <c r="AO347" s="807">
        <v>147.44999999999999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25">
      <c r="A348" s="540" t="str">
        <f t="shared" si="6"/>
        <v>PiècesFrais bancaires</v>
      </c>
      <c r="B348" s="626" t="s">
        <v>131</v>
      </c>
      <c r="C348" s="785"/>
      <c r="D348" s="793"/>
      <c r="E348" s="807">
        <v>15948.069999999998</v>
      </c>
      <c r="F348" s="785"/>
      <c r="G348" s="793"/>
      <c r="H348" s="807">
        <v>702.74</v>
      </c>
      <c r="I348" s="785"/>
      <c r="J348" s="793"/>
      <c r="K348" s="807">
        <v>729.98</v>
      </c>
      <c r="L348" s="785"/>
      <c r="M348" s="793"/>
      <c r="N348" s="807">
        <v>1222.3699999999999</v>
      </c>
      <c r="O348" s="785"/>
      <c r="P348" s="793"/>
      <c r="Q348" s="807">
        <v>1950.25</v>
      </c>
      <c r="R348" s="785"/>
      <c r="S348" s="793"/>
      <c r="T348" s="807">
        <v>1826.24</v>
      </c>
      <c r="U348" s="785"/>
      <c r="V348" s="793"/>
      <c r="W348" s="807">
        <v>1094.07</v>
      </c>
      <c r="X348" s="785"/>
      <c r="Y348" s="793"/>
      <c r="Z348" s="807">
        <v>1330.56</v>
      </c>
      <c r="AA348" s="785"/>
      <c r="AB348" s="793"/>
      <c r="AC348" s="807">
        <v>887.88</v>
      </c>
      <c r="AD348" s="785"/>
      <c r="AE348" s="793"/>
      <c r="AF348" s="807">
        <v>1184.32</v>
      </c>
      <c r="AG348" s="785"/>
      <c r="AH348" s="793"/>
      <c r="AI348" s="807">
        <v>1754.92</v>
      </c>
      <c r="AJ348" s="785"/>
      <c r="AK348" s="793"/>
      <c r="AL348" s="807">
        <v>2128.4699999999998</v>
      </c>
      <c r="AM348" s="785"/>
      <c r="AN348" s="793"/>
      <c r="AO348" s="807">
        <v>1136.27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25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25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25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0.25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0.170448047636311</v>
      </c>
      <c r="E352" s="814">
        <v>181650.72</v>
      </c>
      <c r="F352" s="812" t="s">
        <v>108</v>
      </c>
      <c r="G352" s="813">
        <v>0.17545233837907895</v>
      </c>
      <c r="H352" s="814">
        <v>12024.03999999999</v>
      </c>
      <c r="I352" s="812" t="s">
        <v>108</v>
      </c>
      <c r="J352" s="813">
        <v>0.25407293965438116</v>
      </c>
      <c r="K352" s="814">
        <v>14280.819999999998</v>
      </c>
      <c r="L352" s="812" t="s">
        <v>108</v>
      </c>
      <c r="M352" s="813">
        <v>0.16894720792847495</v>
      </c>
      <c r="N352" s="814">
        <v>14344.140000000003</v>
      </c>
      <c r="O352" s="812" t="s">
        <v>108</v>
      </c>
      <c r="P352" s="813">
        <v>0.22256726527826587</v>
      </c>
      <c r="Q352" s="814">
        <v>18529.189999999999</v>
      </c>
      <c r="R352" s="812" t="s">
        <v>108</v>
      </c>
      <c r="S352" s="813">
        <v>0.12264775310951267</v>
      </c>
      <c r="T352" s="814">
        <v>13995.079999999998</v>
      </c>
      <c r="U352" s="812" t="s">
        <v>108</v>
      </c>
      <c r="V352" s="813">
        <v>0.1600042502065013</v>
      </c>
      <c r="W352" s="814">
        <v>12980.42</v>
      </c>
      <c r="X352" s="812" t="s">
        <v>108</v>
      </c>
      <c r="Y352" s="813">
        <v>0.16179769059533275</v>
      </c>
      <c r="Z352" s="814">
        <v>13792.359999999999</v>
      </c>
      <c r="AA352" s="812" t="s">
        <v>108</v>
      </c>
      <c r="AB352" s="813">
        <v>0.17405887258326797</v>
      </c>
      <c r="AC352" s="814">
        <v>12765.609999999999</v>
      </c>
      <c r="AD352" s="812" t="s">
        <v>108</v>
      </c>
      <c r="AE352" s="813">
        <v>0.17373874356137725</v>
      </c>
      <c r="AF352" s="814">
        <v>14605.000000000004</v>
      </c>
      <c r="AG352" s="812" t="s">
        <v>108</v>
      </c>
      <c r="AH352" s="813">
        <v>0.18721393084351071</v>
      </c>
      <c r="AI352" s="814">
        <v>21627.879999999997</v>
      </c>
      <c r="AJ352" s="812" t="s">
        <v>108</v>
      </c>
      <c r="AK352" s="813">
        <v>0.12389255164849096</v>
      </c>
      <c r="AL352" s="814">
        <v>15916.87999999999</v>
      </c>
      <c r="AM352" s="812" t="s">
        <v>108</v>
      </c>
      <c r="AN352" s="813">
        <v>0.18459799225095971</v>
      </c>
      <c r="AO352" s="814">
        <v>16789.300000000003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25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0.25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0.47197263909160136</v>
      </c>
      <c r="E354" s="823">
        <v>502992.97</v>
      </c>
      <c r="F354" s="812" t="s">
        <v>108</v>
      </c>
      <c r="G354" s="850">
        <v>0.58240848098528464</v>
      </c>
      <c r="H354" s="823">
        <v>39913.419999999991</v>
      </c>
      <c r="I354" s="812" t="s">
        <v>108</v>
      </c>
      <c r="J354" s="850">
        <v>0.74670844989535257</v>
      </c>
      <c r="K354" s="823">
        <v>41970.659999999996</v>
      </c>
      <c r="L354" s="812" t="s">
        <v>108</v>
      </c>
      <c r="M354" s="850">
        <v>0.46047264004172356</v>
      </c>
      <c r="N354" s="823">
        <v>39095.550000000003</v>
      </c>
      <c r="O354" s="812" t="s">
        <v>108</v>
      </c>
      <c r="P354" s="850">
        <v>0.56074796440546015</v>
      </c>
      <c r="Q354" s="823">
        <v>46683.44</v>
      </c>
      <c r="R354" s="812" t="s">
        <v>108</v>
      </c>
      <c r="S354" s="850">
        <v>0.39647896482557898</v>
      </c>
      <c r="T354" s="823">
        <v>45241.389999999898</v>
      </c>
      <c r="U354" s="812" t="s">
        <v>108</v>
      </c>
      <c r="V354" s="850">
        <v>0.44515057971312888</v>
      </c>
      <c r="W354" s="823">
        <v>36113.050000000003</v>
      </c>
      <c r="X354" s="812" t="s">
        <v>108</v>
      </c>
      <c r="Y354" s="850">
        <v>0.46192609773676829</v>
      </c>
      <c r="Z354" s="823">
        <v>39376.6499999999</v>
      </c>
      <c r="AA354" s="812" t="s">
        <v>108</v>
      </c>
      <c r="AB354" s="850">
        <v>0.48559095924285622</v>
      </c>
      <c r="AC354" s="823">
        <v>35613.61</v>
      </c>
      <c r="AD354" s="812" t="s">
        <v>108</v>
      </c>
      <c r="AE354" s="850">
        <v>0.51102863328694026</v>
      </c>
      <c r="AF354" s="823">
        <v>42958.599999999904</v>
      </c>
      <c r="AG354" s="812" t="s">
        <v>108</v>
      </c>
      <c r="AH354" s="850">
        <v>0.42690648210624615</v>
      </c>
      <c r="AI354" s="823">
        <v>49318.349999999897</v>
      </c>
      <c r="AJ354" s="812" t="s">
        <v>108</v>
      </c>
      <c r="AK354" s="850">
        <v>0.34263830465576989</v>
      </c>
      <c r="AL354" s="823">
        <v>44019.859999999891</v>
      </c>
      <c r="AM354" s="812" t="s">
        <v>108</v>
      </c>
      <c r="AN354" s="850">
        <v>0.46935792954000133</v>
      </c>
      <c r="AO354" s="823">
        <v>42688.39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25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562731.87999999779</v>
      </c>
      <c r="F356" s="851"/>
      <c r="G356" s="852"/>
      <c r="H356" s="832">
        <v>28618.240000000013</v>
      </c>
      <c r="I356" s="851"/>
      <c r="J356" s="852"/>
      <c r="K356" s="832">
        <v>14236.899999999965</v>
      </c>
      <c r="L356" s="851"/>
      <c r="M356" s="852"/>
      <c r="N356" s="832">
        <v>45807.539999999877</v>
      </c>
      <c r="O356" s="851"/>
      <c r="P356" s="852"/>
      <c r="Q356" s="832">
        <v>36568.649999999703</v>
      </c>
      <c r="R356" s="851"/>
      <c r="S356" s="852"/>
      <c r="T356" s="832">
        <v>68866.529999999897</v>
      </c>
      <c r="U356" s="851"/>
      <c r="V356" s="852"/>
      <c r="W356" s="832">
        <v>45012.419999999896</v>
      </c>
      <c r="X356" s="851"/>
      <c r="Y356" s="852"/>
      <c r="Z356" s="832">
        <v>45867.829999999907</v>
      </c>
      <c r="AA356" s="851"/>
      <c r="AB356" s="852"/>
      <c r="AC356" s="832">
        <v>37727.14999999979</v>
      </c>
      <c r="AD356" s="851"/>
      <c r="AE356" s="852"/>
      <c r="AF356" s="832">
        <v>41104.39999999979</v>
      </c>
      <c r="AG356" s="851"/>
      <c r="AH356" s="852"/>
      <c r="AI356" s="832">
        <v>66206.599999999919</v>
      </c>
      <c r="AJ356" s="851"/>
      <c r="AK356" s="852"/>
      <c r="AL356" s="832">
        <v>84453.399999999965</v>
      </c>
      <c r="AM356" s="851"/>
      <c r="AN356" s="852"/>
      <c r="AO356" s="832">
        <v>48262.219999999696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0.25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0.25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25">
      <c r="A359" s="540"/>
      <c r="B359" s="618" t="s">
        <v>2812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" thickTop="1">
      <c r="A361" s="540"/>
      <c r="B361" s="658" t="s">
        <v>293</v>
      </c>
      <c r="C361" s="768">
        <v>2023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0.25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0.25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25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25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25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25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25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25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25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25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25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25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25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25">
      <c r="A379" s="540" t="str">
        <f t="shared" si="7"/>
        <v>Boutique[...]</v>
      </c>
      <c r="B379" s="550" t="s">
        <v>42</v>
      </c>
      <c r="C379" s="811"/>
      <c r="D379" s="818"/>
      <c r="E379" s="819"/>
      <c r="F379" s="811"/>
      <c r="G379" s="818"/>
      <c r="H379" s="819"/>
      <c r="I379" s="811"/>
      <c r="J379" s="818"/>
      <c r="K379" s="819"/>
      <c r="L379" s="811"/>
      <c r="M379" s="818"/>
      <c r="N379" s="819"/>
      <c r="O379" s="811"/>
      <c r="P379" s="818"/>
      <c r="Q379" s="819"/>
      <c r="R379" s="811"/>
      <c r="S379" s="818"/>
      <c r="T379" s="819"/>
      <c r="U379" s="811"/>
      <c r="V379" s="818"/>
      <c r="W379" s="819"/>
      <c r="X379" s="811"/>
      <c r="Y379" s="818"/>
      <c r="Z379" s="819"/>
      <c r="AA379" s="811"/>
      <c r="AB379" s="818"/>
      <c r="AC379" s="819"/>
      <c r="AD379" s="811"/>
      <c r="AE379" s="818"/>
      <c r="AF379" s="819"/>
      <c r="AG379" s="811"/>
      <c r="AH379" s="818"/>
      <c r="AI379" s="819"/>
      <c r="AJ379" s="811"/>
      <c r="AK379" s="818"/>
      <c r="AL379" s="819"/>
      <c r="AM379" s="811"/>
      <c r="AN379" s="818"/>
      <c r="AO379" s="819"/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0.25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25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25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25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25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25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25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25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25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25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0.25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25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0.25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1.75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25">
      <c r="A404" s="539"/>
      <c r="B404" s="605"/>
      <c r="C404" s="793"/>
      <c r="D404" s="793"/>
      <c r="E404" s="806"/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25">
      <c r="A405" s="539"/>
      <c r="B405" s="618" t="s">
        <v>2812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2857638.24</v>
      </c>
      <c r="I406" s="904"/>
      <c r="J406" s="904"/>
      <c r="K406" s="905">
        <v>2196501.27</v>
      </c>
      <c r="L406" s="904"/>
      <c r="M406" s="904"/>
      <c r="N406" s="905">
        <v>4255868.8100000005</v>
      </c>
      <c r="O406" s="904"/>
      <c r="P406" s="904"/>
      <c r="Q406" s="905">
        <v>4519395.8499999903</v>
      </c>
      <c r="R406" s="904"/>
      <c r="S406" s="904"/>
      <c r="T406" s="905">
        <v>5228335.0699999901</v>
      </c>
      <c r="U406" s="904"/>
      <c r="V406" s="904"/>
      <c r="W406" s="905">
        <v>3825747.9</v>
      </c>
      <c r="X406" s="904"/>
      <c r="Y406" s="904"/>
      <c r="Z406" s="905">
        <v>2555648.6199999899</v>
      </c>
      <c r="AA406" s="904"/>
      <c r="AB406" s="904"/>
      <c r="AC406" s="905">
        <v>5191041.2399999993</v>
      </c>
      <c r="AD406" s="904"/>
      <c r="AE406" s="904"/>
      <c r="AF406" s="905">
        <v>3954834.1299999896</v>
      </c>
      <c r="AG406" s="904"/>
      <c r="AH406" s="904"/>
      <c r="AI406" s="905">
        <v>10220167.15</v>
      </c>
      <c r="AJ406" s="904"/>
      <c r="AK406" s="904"/>
      <c r="AL406" s="905">
        <v>11998554.869999999</v>
      </c>
      <c r="AM406" s="904"/>
      <c r="AN406" s="904"/>
      <c r="AO406" s="905">
        <v>9171874.8100000005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" thickTop="1">
      <c r="A407" s="539"/>
      <c r="B407" s="659" t="s">
        <v>293</v>
      </c>
      <c r="C407" s="768">
        <v>2024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25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25">
      <c r="A409" s="539" t="str">
        <f>B409</f>
        <v>Ventes nettes</v>
      </c>
      <c r="B409" s="636" t="s">
        <v>85</v>
      </c>
      <c r="C409" s="911"/>
      <c r="D409" s="912"/>
      <c r="E409" s="913">
        <v>46633420.659999922</v>
      </c>
      <c r="F409" s="911"/>
      <c r="G409" s="912"/>
      <c r="H409" s="913">
        <v>2326772.09</v>
      </c>
      <c r="I409" s="911"/>
      <c r="J409" s="912"/>
      <c r="K409" s="913">
        <v>1920487.899999999</v>
      </c>
      <c r="L409" s="911"/>
      <c r="M409" s="912"/>
      <c r="N409" s="913">
        <v>3357798.6299999901</v>
      </c>
      <c r="O409" s="911"/>
      <c r="P409" s="912"/>
      <c r="Q409" s="913">
        <v>5136322.2499999888</v>
      </c>
      <c r="R409" s="911"/>
      <c r="S409" s="912"/>
      <c r="T409" s="913">
        <v>5500461.7199999895</v>
      </c>
      <c r="U409" s="911"/>
      <c r="V409" s="912"/>
      <c r="W409" s="913">
        <v>3580042.6199999899</v>
      </c>
      <c r="X409" s="911"/>
      <c r="Y409" s="912"/>
      <c r="Z409" s="913">
        <v>3269704.21</v>
      </c>
      <c r="AA409" s="911"/>
      <c r="AB409" s="912"/>
      <c r="AC409" s="913">
        <v>2910188.5</v>
      </c>
      <c r="AD409" s="911"/>
      <c r="AE409" s="912"/>
      <c r="AF409" s="913">
        <v>5438940.4500000002</v>
      </c>
      <c r="AG409" s="911"/>
      <c r="AH409" s="912"/>
      <c r="AI409" s="913">
        <v>4023235.1799999801</v>
      </c>
      <c r="AJ409" s="911"/>
      <c r="AK409" s="912"/>
      <c r="AL409" s="913">
        <v>4910909.9399999995</v>
      </c>
      <c r="AM409" s="911"/>
      <c r="AN409" s="912"/>
      <c r="AO409" s="913">
        <v>4258557.1699999897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25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4529849.0699999947</v>
      </c>
      <c r="F410" s="914"/>
      <c r="G410" s="915"/>
      <c r="H410" s="916">
        <v>234263.67999999961</v>
      </c>
      <c r="I410" s="914"/>
      <c r="J410" s="915"/>
      <c r="K410" s="916">
        <v>223423.25999999969</v>
      </c>
      <c r="L410" s="914"/>
      <c r="M410" s="915"/>
      <c r="N410" s="916">
        <v>331810.0699999996</v>
      </c>
      <c r="O410" s="914"/>
      <c r="P410" s="915"/>
      <c r="Q410" s="916">
        <v>471251.60999999964</v>
      </c>
      <c r="R410" s="914"/>
      <c r="S410" s="915"/>
      <c r="T410" s="916">
        <v>570108.11999999976</v>
      </c>
      <c r="U410" s="914"/>
      <c r="V410" s="915"/>
      <c r="W410" s="916">
        <v>328686.43999999954</v>
      </c>
      <c r="X410" s="914"/>
      <c r="Y410" s="915"/>
      <c r="Z410" s="916">
        <v>353927.73999999929</v>
      </c>
      <c r="AA410" s="914"/>
      <c r="AB410" s="915"/>
      <c r="AC410" s="916">
        <v>280020.35999999964</v>
      </c>
      <c r="AD410" s="914"/>
      <c r="AE410" s="915"/>
      <c r="AF410" s="916">
        <v>399283.09999999922</v>
      </c>
      <c r="AG410" s="914"/>
      <c r="AH410" s="915"/>
      <c r="AI410" s="916">
        <v>459457.18999999983</v>
      </c>
      <c r="AJ410" s="914"/>
      <c r="AK410" s="915"/>
      <c r="AL410" s="916">
        <v>495524.12999999942</v>
      </c>
      <c r="AM410" s="914"/>
      <c r="AN410" s="915"/>
      <c r="AO410" s="916">
        <v>382093.3699999997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25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>
        <v>0</v>
      </c>
      <c r="H411" s="919"/>
      <c r="I411" s="917"/>
      <c r="J411" s="918">
        <v>0</v>
      </c>
      <c r="K411" s="919"/>
      <c r="L411" s="917"/>
      <c r="M411" s="918">
        <v>0</v>
      </c>
      <c r="N411" s="919"/>
      <c r="O411" s="917"/>
      <c r="P411" s="918">
        <v>0</v>
      </c>
      <c r="Q411" s="919"/>
      <c r="R411" s="917"/>
      <c r="S411" s="918">
        <v>0</v>
      </c>
      <c r="T411" s="919"/>
      <c r="U411" s="917"/>
      <c r="V411" s="918">
        <v>0</v>
      </c>
      <c r="W411" s="919"/>
      <c r="X411" s="917"/>
      <c r="Y411" s="918">
        <v>0</v>
      </c>
      <c r="Z411" s="919"/>
      <c r="AA411" s="917"/>
      <c r="AB411" s="918">
        <v>0</v>
      </c>
      <c r="AC411" s="919"/>
      <c r="AD411" s="917"/>
      <c r="AE411" s="918">
        <v>0</v>
      </c>
      <c r="AF411" s="919"/>
      <c r="AG411" s="917"/>
      <c r="AH411" s="918">
        <v>0</v>
      </c>
      <c r="AI411" s="919"/>
      <c r="AJ411" s="917"/>
      <c r="AK411" s="918">
        <v>0</v>
      </c>
      <c r="AL411" s="919"/>
      <c r="AM411" s="917"/>
      <c r="AN411" s="918">
        <v>0</v>
      </c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25">
      <c r="A412" s="539" t="str">
        <f t="shared" si="8"/>
        <v>Comm. vendeurs</v>
      </c>
      <c r="B412" s="639" t="s">
        <v>100</v>
      </c>
      <c r="C412" s="920">
        <v>0.31132089991587447</v>
      </c>
      <c r="D412" s="921">
        <v>1003.1558119658119</v>
      </c>
      <c r="E412" s="919">
        <v>469476.92</v>
      </c>
      <c r="F412" s="920"/>
      <c r="G412" s="921">
        <v>2736.3333333333335</v>
      </c>
      <c r="H412" s="919">
        <v>24627</v>
      </c>
      <c r="I412" s="920"/>
      <c r="J412" s="921">
        <v>2441.4357142857143</v>
      </c>
      <c r="K412" s="919">
        <v>17090.05</v>
      </c>
      <c r="L412" s="920"/>
      <c r="M412" s="921">
        <v>1785.5714285714287</v>
      </c>
      <c r="N412" s="919">
        <v>37497</v>
      </c>
      <c r="O412" s="920"/>
      <c r="P412" s="921">
        <v>1526.8991891891892</v>
      </c>
      <c r="Q412" s="919">
        <v>56495.27</v>
      </c>
      <c r="R412" s="920"/>
      <c r="S412" s="921">
        <v>1712.2438461538461</v>
      </c>
      <c r="T412" s="919">
        <v>66777.509999999995</v>
      </c>
      <c r="U412" s="920"/>
      <c r="V412" s="921">
        <v>1408.7004545454547</v>
      </c>
      <c r="W412" s="919">
        <v>30991.410000000003</v>
      </c>
      <c r="X412" s="920"/>
      <c r="Y412" s="921">
        <v>1338.0981818181817</v>
      </c>
      <c r="Z412" s="919">
        <v>29438.159999999996</v>
      </c>
      <c r="AA412" s="920"/>
      <c r="AB412" s="921">
        <v>1194.9659999999999</v>
      </c>
      <c r="AC412" s="919">
        <v>23899.32</v>
      </c>
      <c r="AD412" s="920"/>
      <c r="AE412" s="921">
        <v>1517.7296551724139</v>
      </c>
      <c r="AF412" s="919">
        <v>44014.16</v>
      </c>
      <c r="AG412" s="920"/>
      <c r="AH412" s="921">
        <v>1484.7525925925927</v>
      </c>
      <c r="AI412" s="919">
        <v>40088.32</v>
      </c>
      <c r="AJ412" s="920"/>
      <c r="AK412" s="921">
        <v>1487.3085714285714</v>
      </c>
      <c r="AL412" s="919">
        <v>52055.8</v>
      </c>
      <c r="AM412" s="920"/>
      <c r="AN412" s="921">
        <v>1937.6216666666667</v>
      </c>
      <c r="AO412" s="919">
        <v>46502.92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25">
      <c r="A413" s="539" t="str">
        <f t="shared" si="8"/>
        <v>Comm. F&amp;I</v>
      </c>
      <c r="B413" s="636" t="s">
        <v>101</v>
      </c>
      <c r="C413" s="922">
        <v>0.35914567268254544</v>
      </c>
      <c r="D413" s="923">
        <v>591.17866510538647</v>
      </c>
      <c r="E413" s="913">
        <v>252433.29000000004</v>
      </c>
      <c r="F413" s="922"/>
      <c r="G413" s="923">
        <v>1479.4722222222222</v>
      </c>
      <c r="H413" s="913">
        <v>13315.25</v>
      </c>
      <c r="I413" s="922"/>
      <c r="J413" s="923">
        <v>2447.2000000000003</v>
      </c>
      <c r="K413" s="913">
        <v>17130.400000000001</v>
      </c>
      <c r="L413" s="922"/>
      <c r="M413" s="923">
        <v>967.04857142857145</v>
      </c>
      <c r="N413" s="913">
        <v>20308.02</v>
      </c>
      <c r="O413" s="922"/>
      <c r="P413" s="923">
        <v>854.34189189189192</v>
      </c>
      <c r="Q413" s="913">
        <v>31610.65</v>
      </c>
      <c r="R413" s="922"/>
      <c r="S413" s="923">
        <v>969.69076923076932</v>
      </c>
      <c r="T413" s="913">
        <v>37817.94</v>
      </c>
      <c r="U413" s="922"/>
      <c r="V413" s="923">
        <v>745.95181818181834</v>
      </c>
      <c r="W413" s="913">
        <v>16410.940000000002</v>
      </c>
      <c r="X413" s="922"/>
      <c r="Y413" s="923">
        <v>724.9909090909091</v>
      </c>
      <c r="Z413" s="913">
        <v>15949.8</v>
      </c>
      <c r="AA413" s="922"/>
      <c r="AB413" s="923">
        <v>573.13350000000003</v>
      </c>
      <c r="AC413" s="913">
        <v>11462.67</v>
      </c>
      <c r="AD413" s="922"/>
      <c r="AE413" s="923">
        <v>831.61206896551721</v>
      </c>
      <c r="AF413" s="913">
        <v>24116.75</v>
      </c>
      <c r="AG413" s="922"/>
      <c r="AH413" s="923">
        <v>499.32222222222225</v>
      </c>
      <c r="AI413" s="913">
        <v>13481.7</v>
      </c>
      <c r="AJ413" s="922"/>
      <c r="AK413" s="923">
        <v>927.79057142857141</v>
      </c>
      <c r="AL413" s="913">
        <v>32472.67</v>
      </c>
      <c r="AM413" s="922"/>
      <c r="AN413" s="923">
        <v>764.85416666666663</v>
      </c>
      <c r="AO413" s="913">
        <v>18356.5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25">
      <c r="A414" s="539" t="str">
        <f t="shared" si="8"/>
        <v>Frais de livraison</v>
      </c>
      <c r="B414" s="639" t="s">
        <v>102</v>
      </c>
      <c r="C414" s="920"/>
      <c r="D414" s="921">
        <v>116.80159250585481</v>
      </c>
      <c r="E414" s="919">
        <v>49874.280000000006</v>
      </c>
      <c r="F414" s="920"/>
      <c r="G414" s="921">
        <v>212.57333333333332</v>
      </c>
      <c r="H414" s="919">
        <v>1913.1599999999999</v>
      </c>
      <c r="I414" s="920"/>
      <c r="J414" s="921">
        <v>487.47285714285721</v>
      </c>
      <c r="K414" s="919">
        <v>3412.3100000000004</v>
      </c>
      <c r="L414" s="920"/>
      <c r="M414" s="921">
        <v>178.1847619047619</v>
      </c>
      <c r="N414" s="919">
        <v>3741.88</v>
      </c>
      <c r="O414" s="920"/>
      <c r="P414" s="921">
        <v>108.65486486486488</v>
      </c>
      <c r="Q414" s="919">
        <v>4020.2300000000005</v>
      </c>
      <c r="R414" s="920"/>
      <c r="S414" s="921">
        <v>142.00230769230771</v>
      </c>
      <c r="T414" s="919">
        <v>5538.09</v>
      </c>
      <c r="U414" s="920"/>
      <c r="V414" s="921">
        <v>194.10772727272726</v>
      </c>
      <c r="W414" s="919">
        <v>4270.37</v>
      </c>
      <c r="X414" s="920"/>
      <c r="Y414" s="921">
        <v>200.09136363636364</v>
      </c>
      <c r="Z414" s="919">
        <v>4402.01</v>
      </c>
      <c r="AA414" s="920"/>
      <c r="AB414" s="921">
        <v>310.44600000000003</v>
      </c>
      <c r="AC414" s="919">
        <v>6208.92</v>
      </c>
      <c r="AD414" s="920"/>
      <c r="AE414" s="921">
        <v>173.77344827586208</v>
      </c>
      <c r="AF414" s="919">
        <v>5039.43</v>
      </c>
      <c r="AG414" s="920"/>
      <c r="AH414" s="921">
        <v>157.53333333333333</v>
      </c>
      <c r="AI414" s="919">
        <v>4253.3999999999996</v>
      </c>
      <c r="AJ414" s="920"/>
      <c r="AK414" s="921">
        <v>111.532</v>
      </c>
      <c r="AL414" s="919">
        <v>3903.62</v>
      </c>
      <c r="AM414" s="920"/>
      <c r="AN414" s="921">
        <v>132.11916666666664</v>
      </c>
      <c r="AO414" s="919">
        <v>3170.8599999999997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25">
      <c r="A415" s="539" t="str">
        <f t="shared" si="8"/>
        <v>Service gratuit 1</v>
      </c>
      <c r="B415" s="639" t="s">
        <v>103</v>
      </c>
      <c r="C415" s="920"/>
      <c r="D415" s="921">
        <v>73.115456674473066</v>
      </c>
      <c r="E415" s="919">
        <v>31220.3</v>
      </c>
      <c r="F415" s="920"/>
      <c r="G415" s="921">
        <v>273.33666666666664</v>
      </c>
      <c r="H415" s="919">
        <v>2460.0299999999997</v>
      </c>
      <c r="I415" s="920"/>
      <c r="J415" s="921">
        <v>458.1528571428571</v>
      </c>
      <c r="K415" s="919">
        <v>3207.0699999999997</v>
      </c>
      <c r="L415" s="920"/>
      <c r="M415" s="921">
        <v>28.584761904761905</v>
      </c>
      <c r="N415" s="919">
        <v>600.28</v>
      </c>
      <c r="O415" s="920"/>
      <c r="P415" s="921">
        <v>36.250270270270271</v>
      </c>
      <c r="Q415" s="919">
        <v>1341.26</v>
      </c>
      <c r="R415" s="920"/>
      <c r="S415" s="921">
        <v>99.035384615384615</v>
      </c>
      <c r="T415" s="919">
        <v>3862.38</v>
      </c>
      <c r="U415" s="920"/>
      <c r="V415" s="921">
        <v>123.78409090909091</v>
      </c>
      <c r="W415" s="919">
        <v>2723.25</v>
      </c>
      <c r="X415" s="920"/>
      <c r="Y415" s="921">
        <v>72.733181818181819</v>
      </c>
      <c r="Z415" s="919">
        <v>1600.13</v>
      </c>
      <c r="AA415" s="920"/>
      <c r="AB415" s="921">
        <v>125.9455</v>
      </c>
      <c r="AC415" s="919">
        <v>2518.91</v>
      </c>
      <c r="AD415" s="920"/>
      <c r="AE415" s="921">
        <v>144.49793103448278</v>
      </c>
      <c r="AF415" s="919">
        <v>4190.4400000000005</v>
      </c>
      <c r="AG415" s="920"/>
      <c r="AH415" s="921">
        <v>70.238888888888894</v>
      </c>
      <c r="AI415" s="919">
        <v>1896.45</v>
      </c>
      <c r="AJ415" s="920"/>
      <c r="AK415" s="921">
        <v>111.504</v>
      </c>
      <c r="AL415" s="919">
        <v>3902.6400000000003</v>
      </c>
      <c r="AM415" s="920"/>
      <c r="AN415" s="921">
        <v>121.56083333333333</v>
      </c>
      <c r="AO415" s="919">
        <v>2917.46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25">
      <c r="A416" s="539" t="str">
        <f t="shared" si="8"/>
        <v>Entretien stock</v>
      </c>
      <c r="B416" s="636" t="s">
        <v>104</v>
      </c>
      <c r="C416" s="922"/>
      <c r="D416" s="923">
        <v>90.469906323185</v>
      </c>
      <c r="E416" s="913">
        <v>38630.649999999994</v>
      </c>
      <c r="F416" s="922"/>
      <c r="G416" s="923">
        <v>286.01444444444445</v>
      </c>
      <c r="H416" s="913">
        <v>2574.13</v>
      </c>
      <c r="I416" s="922"/>
      <c r="J416" s="923">
        <v>445.43285714285719</v>
      </c>
      <c r="K416" s="913">
        <v>3118.03</v>
      </c>
      <c r="L416" s="922"/>
      <c r="M416" s="923">
        <v>108.49666666666668</v>
      </c>
      <c r="N416" s="913">
        <v>2278.4300000000003</v>
      </c>
      <c r="O416" s="922"/>
      <c r="P416" s="923">
        <v>99.763513513513516</v>
      </c>
      <c r="Q416" s="913">
        <v>3691.25</v>
      </c>
      <c r="R416" s="922"/>
      <c r="S416" s="923">
        <v>81.764615384615382</v>
      </c>
      <c r="T416" s="913">
        <v>3188.82</v>
      </c>
      <c r="U416" s="922"/>
      <c r="V416" s="923">
        <v>114.22954545454546</v>
      </c>
      <c r="W416" s="913">
        <v>2513.0500000000002</v>
      </c>
      <c r="X416" s="922"/>
      <c r="Y416" s="923">
        <v>110.74181818181818</v>
      </c>
      <c r="Z416" s="913">
        <v>2436.3199999999997</v>
      </c>
      <c r="AA416" s="922"/>
      <c r="AB416" s="923">
        <v>173.67849999999999</v>
      </c>
      <c r="AC416" s="913">
        <v>3473.5699999999997</v>
      </c>
      <c r="AD416" s="922"/>
      <c r="AE416" s="923">
        <v>126.41793103448275</v>
      </c>
      <c r="AF416" s="913">
        <v>3666.12</v>
      </c>
      <c r="AG416" s="922"/>
      <c r="AH416" s="923">
        <v>132.93851851851852</v>
      </c>
      <c r="AI416" s="913">
        <v>3589.34</v>
      </c>
      <c r="AJ416" s="922"/>
      <c r="AK416" s="923">
        <v>122.64285714285714</v>
      </c>
      <c r="AL416" s="913">
        <v>4292.5</v>
      </c>
      <c r="AM416" s="922"/>
      <c r="AN416" s="923">
        <v>158.71208333333334</v>
      </c>
      <c r="AO416" s="913">
        <v>3809.09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25">
      <c r="A417" s="539" t="str">
        <f t="shared" si="8"/>
        <v>Publicité 1</v>
      </c>
      <c r="B417" s="639" t="s">
        <v>105</v>
      </c>
      <c r="C417" s="920"/>
      <c r="D417" s="921">
        <v>580.55817330210743</v>
      </c>
      <c r="E417" s="919">
        <v>247898.33999999985</v>
      </c>
      <c r="F417" s="920"/>
      <c r="G417" s="921">
        <v>1137.538888888889</v>
      </c>
      <c r="H417" s="919">
        <v>10237.85</v>
      </c>
      <c r="I417" s="920"/>
      <c r="J417" s="921">
        <v>2468.7771428571427</v>
      </c>
      <c r="K417" s="919">
        <v>17281.439999999999</v>
      </c>
      <c r="L417" s="920"/>
      <c r="M417" s="921">
        <v>993.30285714285719</v>
      </c>
      <c r="N417" s="919">
        <v>20859.36</v>
      </c>
      <c r="O417" s="920"/>
      <c r="P417" s="921">
        <v>574.88378378378366</v>
      </c>
      <c r="Q417" s="919">
        <v>21270.699999999997</v>
      </c>
      <c r="R417" s="920"/>
      <c r="S417" s="921">
        <v>567.58128205128196</v>
      </c>
      <c r="T417" s="919">
        <v>22135.67</v>
      </c>
      <c r="U417" s="920"/>
      <c r="V417" s="921">
        <v>719.5181818181818</v>
      </c>
      <c r="W417" s="919">
        <v>15829.4</v>
      </c>
      <c r="X417" s="920"/>
      <c r="Y417" s="921">
        <v>722.46363636363628</v>
      </c>
      <c r="Z417" s="919">
        <v>15894.199999999999</v>
      </c>
      <c r="AA417" s="920"/>
      <c r="AB417" s="921">
        <v>939.63949999999954</v>
      </c>
      <c r="AC417" s="919">
        <v>18792.78999999999</v>
      </c>
      <c r="AD417" s="920"/>
      <c r="AE417" s="921">
        <v>947.21896551724149</v>
      </c>
      <c r="AF417" s="919">
        <v>27469.350000000002</v>
      </c>
      <c r="AG417" s="920"/>
      <c r="AH417" s="921">
        <v>1150.0577777777778</v>
      </c>
      <c r="AI417" s="919">
        <v>31051.559999999998</v>
      </c>
      <c r="AJ417" s="920"/>
      <c r="AK417" s="921">
        <v>558.37571428571118</v>
      </c>
      <c r="AL417" s="919">
        <v>19543.149999999892</v>
      </c>
      <c r="AM417" s="920"/>
      <c r="AN417" s="921">
        <v>1147.2029166666669</v>
      </c>
      <c r="AO417" s="919">
        <v>27532.870000000003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25">
      <c r="A418" s="539" t="str">
        <f t="shared" si="8"/>
        <v>Intérêt de gros</v>
      </c>
      <c r="B418" s="639" t="s">
        <v>106</v>
      </c>
      <c r="C418" s="920"/>
      <c r="D418" s="921">
        <v>1050.7263466042155</v>
      </c>
      <c r="E418" s="919">
        <v>448660.15</v>
      </c>
      <c r="F418" s="920"/>
      <c r="G418" s="921"/>
      <c r="H418" s="919">
        <v>35499.47</v>
      </c>
      <c r="I418" s="920"/>
      <c r="J418" s="921"/>
      <c r="K418" s="919">
        <v>37761.369999999995</v>
      </c>
      <c r="L418" s="920"/>
      <c r="M418" s="921"/>
      <c r="N418" s="919">
        <v>46196.55</v>
      </c>
      <c r="O418" s="920"/>
      <c r="P418" s="921"/>
      <c r="Q418" s="919">
        <v>44625.990000000005</v>
      </c>
      <c r="R418" s="920"/>
      <c r="S418" s="921"/>
      <c r="T418" s="919">
        <v>44371.22</v>
      </c>
      <c r="U418" s="920"/>
      <c r="V418" s="921"/>
      <c r="W418" s="919">
        <v>40488.15</v>
      </c>
      <c r="X418" s="920"/>
      <c r="Y418" s="921"/>
      <c r="Z418" s="919">
        <v>40368.25</v>
      </c>
      <c r="AA418" s="920"/>
      <c r="AB418" s="921"/>
      <c r="AC418" s="919">
        <v>40444.959999999999</v>
      </c>
      <c r="AD418" s="920"/>
      <c r="AE418" s="921"/>
      <c r="AF418" s="919">
        <v>25650.799999999999</v>
      </c>
      <c r="AG418" s="920"/>
      <c r="AH418" s="921"/>
      <c r="AI418" s="919">
        <v>23342.71</v>
      </c>
      <c r="AJ418" s="920"/>
      <c r="AK418" s="921"/>
      <c r="AL418" s="919">
        <v>38434.049999999996</v>
      </c>
      <c r="AM418" s="920"/>
      <c r="AN418" s="921"/>
      <c r="AO418" s="919">
        <v>31476.63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25">
      <c r="A419" s="539"/>
      <c r="B419" s="640"/>
      <c r="C419" s="920"/>
      <c r="D419" s="921"/>
      <c r="E419" s="919"/>
      <c r="F419" s="920"/>
      <c r="G419" s="921"/>
      <c r="H419" s="919"/>
      <c r="I419" s="920"/>
      <c r="J419" s="921"/>
      <c r="K419" s="919"/>
      <c r="L419" s="920"/>
      <c r="M419" s="921"/>
      <c r="N419" s="919"/>
      <c r="O419" s="920"/>
      <c r="P419" s="921"/>
      <c r="Q419" s="919"/>
      <c r="R419" s="920"/>
      <c r="S419" s="921"/>
      <c r="T419" s="919"/>
      <c r="U419" s="920"/>
      <c r="V419" s="921"/>
      <c r="W419" s="919"/>
      <c r="X419" s="920"/>
      <c r="Y419" s="921"/>
      <c r="Z419" s="919"/>
      <c r="AA419" s="920"/>
      <c r="AB419" s="921"/>
      <c r="AC419" s="919"/>
      <c r="AD419" s="920"/>
      <c r="AE419" s="921"/>
      <c r="AF419" s="919"/>
      <c r="AG419" s="920"/>
      <c r="AH419" s="921"/>
      <c r="AI419" s="919"/>
      <c r="AJ419" s="920"/>
      <c r="AK419" s="921"/>
      <c r="AL419" s="919"/>
      <c r="AM419" s="920"/>
      <c r="AN419" s="921"/>
      <c r="AO419" s="919"/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25">
      <c r="A420" s="539"/>
      <c r="B420" s="640"/>
      <c r="C420" s="920"/>
      <c r="D420" s="921"/>
      <c r="E420" s="919"/>
      <c r="F420" s="920"/>
      <c r="G420" s="921"/>
      <c r="H420" s="919"/>
      <c r="I420" s="920"/>
      <c r="J420" s="921"/>
      <c r="K420" s="919"/>
      <c r="L420" s="920"/>
      <c r="M420" s="921"/>
      <c r="N420" s="919"/>
      <c r="O420" s="920"/>
      <c r="P420" s="921"/>
      <c r="Q420" s="919"/>
      <c r="R420" s="920"/>
      <c r="S420" s="921"/>
      <c r="T420" s="919"/>
      <c r="U420" s="920"/>
      <c r="V420" s="921"/>
      <c r="W420" s="919"/>
      <c r="X420" s="920"/>
      <c r="Y420" s="921"/>
      <c r="Z420" s="919"/>
      <c r="AA420" s="920"/>
      <c r="AB420" s="921"/>
      <c r="AC420" s="919"/>
      <c r="AD420" s="920"/>
      <c r="AE420" s="921"/>
      <c r="AF420" s="919"/>
      <c r="AG420" s="920"/>
      <c r="AH420" s="921"/>
      <c r="AI420" s="919"/>
      <c r="AJ420" s="920"/>
      <c r="AK420" s="921"/>
      <c r="AL420" s="919"/>
      <c r="AM420" s="920"/>
      <c r="AN420" s="921"/>
      <c r="AO420" s="919"/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25">
      <c r="A421" s="539"/>
      <c r="B421" s="635"/>
      <c r="C421" s="920"/>
      <c r="D421" s="921"/>
      <c r="E421" s="919"/>
      <c r="F421" s="920"/>
      <c r="G421" s="921"/>
      <c r="H421" s="919"/>
      <c r="I421" s="920"/>
      <c r="J421" s="921"/>
      <c r="K421" s="919"/>
      <c r="L421" s="920"/>
      <c r="M421" s="921"/>
      <c r="N421" s="919"/>
      <c r="O421" s="920"/>
      <c r="P421" s="921"/>
      <c r="Q421" s="919"/>
      <c r="R421" s="920"/>
      <c r="S421" s="921"/>
      <c r="T421" s="919"/>
      <c r="U421" s="920"/>
      <c r="V421" s="921"/>
      <c r="W421" s="919"/>
      <c r="X421" s="920"/>
      <c r="Y421" s="921"/>
      <c r="Z421" s="919"/>
      <c r="AA421" s="920"/>
      <c r="AB421" s="921"/>
      <c r="AC421" s="919"/>
      <c r="AD421" s="920"/>
      <c r="AE421" s="921"/>
      <c r="AF421" s="919"/>
      <c r="AG421" s="920"/>
      <c r="AH421" s="921"/>
      <c r="AI421" s="919"/>
      <c r="AJ421" s="920"/>
      <c r="AK421" s="921"/>
      <c r="AL421" s="919"/>
      <c r="AM421" s="920"/>
      <c r="AN421" s="921"/>
      <c r="AO421" s="919"/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25">
      <c r="A422" s="539" t="str">
        <f t="shared" si="8"/>
        <v>TOTAL VARIABLES</v>
      </c>
      <c r="B422" s="641" t="s">
        <v>107</v>
      </c>
      <c r="C422" s="924">
        <v>0.33956847264229084</v>
      </c>
      <c r="D422" s="925">
        <v>3506.0059524810345</v>
      </c>
      <c r="E422" s="926">
        <v>1538193.9299999997</v>
      </c>
      <c r="F422" s="924"/>
      <c r="G422" s="925"/>
      <c r="H422" s="926">
        <v>90626.89</v>
      </c>
      <c r="I422" s="924"/>
      <c r="J422" s="925"/>
      <c r="K422" s="926">
        <v>99000.669999999896</v>
      </c>
      <c r="L422" s="924"/>
      <c r="M422" s="925"/>
      <c r="N422" s="926">
        <v>131481.51999999999</v>
      </c>
      <c r="O422" s="924"/>
      <c r="P422" s="925"/>
      <c r="Q422" s="926">
        <v>163055.34999999899</v>
      </c>
      <c r="R422" s="924"/>
      <c r="S422" s="925"/>
      <c r="T422" s="926">
        <v>183691.63</v>
      </c>
      <c r="U422" s="924"/>
      <c r="V422" s="925"/>
      <c r="W422" s="926">
        <v>113226.57</v>
      </c>
      <c r="X422" s="924"/>
      <c r="Y422" s="925"/>
      <c r="Z422" s="926">
        <v>110088.87</v>
      </c>
      <c r="AA422" s="924"/>
      <c r="AB422" s="925"/>
      <c r="AC422" s="926">
        <v>106801.139999999</v>
      </c>
      <c r="AD422" s="924"/>
      <c r="AE422" s="925"/>
      <c r="AF422" s="926">
        <v>134147.04999999999</v>
      </c>
      <c r="AG422" s="924"/>
      <c r="AH422" s="925"/>
      <c r="AI422" s="926">
        <v>117703.48</v>
      </c>
      <c r="AJ422" s="924"/>
      <c r="AK422" s="925"/>
      <c r="AL422" s="926">
        <v>154604.43</v>
      </c>
      <c r="AM422" s="924"/>
      <c r="AN422" s="925"/>
      <c r="AO422" s="926">
        <v>133766.32999999999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25">
      <c r="A423" s="539" t="str">
        <f t="shared" si="8"/>
        <v>Salaires propriétaire</v>
      </c>
      <c r="B423" s="639" t="s">
        <v>203</v>
      </c>
      <c r="C423" s="920"/>
      <c r="D423" s="921"/>
      <c r="E423" s="927">
        <v>163569.72999999989</v>
      </c>
      <c r="F423" s="920"/>
      <c r="G423" s="921"/>
      <c r="H423" s="927">
        <v>11910.18</v>
      </c>
      <c r="I423" s="920"/>
      <c r="J423" s="921"/>
      <c r="K423" s="927">
        <v>13337.07</v>
      </c>
      <c r="L423" s="920"/>
      <c r="M423" s="921"/>
      <c r="N423" s="927">
        <v>15032.66</v>
      </c>
      <c r="O423" s="920"/>
      <c r="P423" s="921"/>
      <c r="Q423" s="927">
        <v>11680.48</v>
      </c>
      <c r="R423" s="920"/>
      <c r="S423" s="921"/>
      <c r="T423" s="927">
        <v>13896.78</v>
      </c>
      <c r="U423" s="920"/>
      <c r="V423" s="921"/>
      <c r="W423" s="927">
        <v>12851.1699999999</v>
      </c>
      <c r="X423" s="920"/>
      <c r="Y423" s="921"/>
      <c r="Z423" s="927">
        <v>12345.1</v>
      </c>
      <c r="AA423" s="920"/>
      <c r="AB423" s="921"/>
      <c r="AC423" s="927">
        <v>12801.15</v>
      </c>
      <c r="AD423" s="920"/>
      <c r="AE423" s="921"/>
      <c r="AF423" s="927">
        <v>14636.45</v>
      </c>
      <c r="AG423" s="920"/>
      <c r="AH423" s="921"/>
      <c r="AI423" s="927">
        <v>15620.88</v>
      </c>
      <c r="AJ423" s="920"/>
      <c r="AK423" s="921"/>
      <c r="AL423" s="927">
        <v>13343.38</v>
      </c>
      <c r="AM423" s="920"/>
      <c r="AN423" s="921"/>
      <c r="AO423" s="927">
        <v>16114.43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25">
      <c r="A424" s="539" t="str">
        <f t="shared" si="8"/>
        <v>Salaires cadres</v>
      </c>
      <c r="B424" s="639" t="s">
        <v>109</v>
      </c>
      <c r="C424" s="920"/>
      <c r="D424" s="921"/>
      <c r="E424" s="919">
        <v>343977.00999999966</v>
      </c>
      <c r="F424" s="920"/>
      <c r="G424" s="921"/>
      <c r="H424" s="919">
        <v>31838.609999999899</v>
      </c>
      <c r="I424" s="920"/>
      <c r="J424" s="921"/>
      <c r="K424" s="919">
        <v>27945.48</v>
      </c>
      <c r="L424" s="920"/>
      <c r="M424" s="921"/>
      <c r="N424" s="919">
        <v>26681.599999999999</v>
      </c>
      <c r="O424" s="920"/>
      <c r="P424" s="921"/>
      <c r="Q424" s="919">
        <v>28590.78</v>
      </c>
      <c r="R424" s="920"/>
      <c r="S424" s="921"/>
      <c r="T424" s="919">
        <v>31911.299999999901</v>
      </c>
      <c r="U424" s="920"/>
      <c r="V424" s="921"/>
      <c r="W424" s="919">
        <v>22412</v>
      </c>
      <c r="X424" s="920"/>
      <c r="Y424" s="921"/>
      <c r="Z424" s="919">
        <v>27632.93</v>
      </c>
      <c r="AA424" s="920"/>
      <c r="AB424" s="921"/>
      <c r="AC424" s="919">
        <v>23556.38</v>
      </c>
      <c r="AD424" s="920"/>
      <c r="AE424" s="921"/>
      <c r="AF424" s="919">
        <v>30046.699999999899</v>
      </c>
      <c r="AG424" s="920"/>
      <c r="AH424" s="921"/>
      <c r="AI424" s="919">
        <v>34750.01</v>
      </c>
      <c r="AJ424" s="920"/>
      <c r="AK424" s="921"/>
      <c r="AL424" s="919">
        <v>32577.439999999999</v>
      </c>
      <c r="AM424" s="920"/>
      <c r="AN424" s="921"/>
      <c r="AO424" s="919">
        <v>26033.78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25">
      <c r="A425" s="539" t="str">
        <f t="shared" si="8"/>
        <v>Salaires commis</v>
      </c>
      <c r="B425" s="636" t="s">
        <v>110</v>
      </c>
      <c r="C425" s="922"/>
      <c r="D425" s="923"/>
      <c r="E425" s="913">
        <v>240350.94999999992</v>
      </c>
      <c r="F425" s="922"/>
      <c r="G425" s="923"/>
      <c r="H425" s="913">
        <v>17239.060000000001</v>
      </c>
      <c r="I425" s="922"/>
      <c r="J425" s="923"/>
      <c r="K425" s="913">
        <v>19470.84</v>
      </c>
      <c r="L425" s="922"/>
      <c r="M425" s="923"/>
      <c r="N425" s="913">
        <v>18962.4899999999</v>
      </c>
      <c r="O425" s="922"/>
      <c r="P425" s="923"/>
      <c r="Q425" s="913">
        <v>17983.900000000001</v>
      </c>
      <c r="R425" s="922"/>
      <c r="S425" s="923"/>
      <c r="T425" s="913">
        <v>22622.29</v>
      </c>
      <c r="U425" s="922"/>
      <c r="V425" s="923"/>
      <c r="W425" s="913">
        <v>19079.099999999999</v>
      </c>
      <c r="X425" s="922"/>
      <c r="Y425" s="923"/>
      <c r="Z425" s="913">
        <v>18203.150000000001</v>
      </c>
      <c r="AA425" s="922"/>
      <c r="AB425" s="923"/>
      <c r="AC425" s="913">
        <v>19209.16</v>
      </c>
      <c r="AD425" s="922"/>
      <c r="AE425" s="923"/>
      <c r="AF425" s="913">
        <v>19700.759999999998</v>
      </c>
      <c r="AG425" s="922"/>
      <c r="AH425" s="923"/>
      <c r="AI425" s="913">
        <v>21192.29</v>
      </c>
      <c r="AJ425" s="922"/>
      <c r="AK425" s="923"/>
      <c r="AL425" s="913">
        <v>23025.23</v>
      </c>
      <c r="AM425" s="922"/>
      <c r="AN425" s="923"/>
      <c r="AO425" s="913">
        <v>23662.68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25">
      <c r="A426" s="539" t="str">
        <f t="shared" si="8"/>
        <v>Salaires autres</v>
      </c>
      <c r="B426" s="639" t="s">
        <v>111</v>
      </c>
      <c r="C426" s="920"/>
      <c r="D426" s="921"/>
      <c r="E426" s="919">
        <v>259918.56999999977</v>
      </c>
      <c r="F426" s="920"/>
      <c r="G426" s="921"/>
      <c r="H426" s="919">
        <v>20379.11</v>
      </c>
      <c r="I426" s="920"/>
      <c r="J426" s="921"/>
      <c r="K426" s="919">
        <v>17313.4899999999</v>
      </c>
      <c r="L426" s="920"/>
      <c r="M426" s="921"/>
      <c r="N426" s="919">
        <v>19911.830000000002</v>
      </c>
      <c r="O426" s="920"/>
      <c r="P426" s="921"/>
      <c r="Q426" s="919">
        <v>26589.9899999999</v>
      </c>
      <c r="R426" s="920"/>
      <c r="S426" s="921"/>
      <c r="T426" s="919">
        <v>23657.65</v>
      </c>
      <c r="U426" s="920"/>
      <c r="V426" s="921"/>
      <c r="W426" s="919">
        <v>17673.84</v>
      </c>
      <c r="X426" s="920"/>
      <c r="Y426" s="921"/>
      <c r="Z426" s="919">
        <v>19488.43</v>
      </c>
      <c r="AA426" s="920"/>
      <c r="AB426" s="921"/>
      <c r="AC426" s="919">
        <v>13289.3</v>
      </c>
      <c r="AD426" s="920"/>
      <c r="AE426" s="921"/>
      <c r="AF426" s="919">
        <v>23145.03</v>
      </c>
      <c r="AG426" s="920"/>
      <c r="AH426" s="921"/>
      <c r="AI426" s="919">
        <v>28028.15</v>
      </c>
      <c r="AJ426" s="920"/>
      <c r="AK426" s="921"/>
      <c r="AL426" s="919">
        <v>29715.16</v>
      </c>
      <c r="AM426" s="920"/>
      <c r="AN426" s="921"/>
      <c r="AO426" s="919">
        <v>20726.59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25">
      <c r="A427" s="539" t="str">
        <f t="shared" si="8"/>
        <v>Salaires spécialistes</v>
      </c>
      <c r="B427" s="639" t="s">
        <v>112</v>
      </c>
      <c r="C427" s="920"/>
      <c r="D427" s="921"/>
      <c r="E427" s="919">
        <v>145388.35999999999</v>
      </c>
      <c r="F427" s="920"/>
      <c r="G427" s="921"/>
      <c r="H427" s="919">
        <v>5820.12</v>
      </c>
      <c r="I427" s="920"/>
      <c r="J427" s="921"/>
      <c r="K427" s="919">
        <v>7346.36</v>
      </c>
      <c r="L427" s="920"/>
      <c r="M427" s="921"/>
      <c r="N427" s="919">
        <v>7315.36</v>
      </c>
      <c r="O427" s="920"/>
      <c r="P427" s="921"/>
      <c r="Q427" s="919">
        <v>12116.41</v>
      </c>
      <c r="R427" s="920"/>
      <c r="S427" s="921"/>
      <c r="T427" s="919">
        <v>17092.900000000001</v>
      </c>
      <c r="U427" s="920"/>
      <c r="V427" s="921"/>
      <c r="W427" s="919">
        <v>14791.16</v>
      </c>
      <c r="X427" s="920"/>
      <c r="Y427" s="921"/>
      <c r="Z427" s="919">
        <v>11978.69</v>
      </c>
      <c r="AA427" s="920"/>
      <c r="AB427" s="921"/>
      <c r="AC427" s="919">
        <v>8653.68</v>
      </c>
      <c r="AD427" s="920"/>
      <c r="AE427" s="921"/>
      <c r="AF427" s="919">
        <v>12462.65</v>
      </c>
      <c r="AG427" s="920"/>
      <c r="AH427" s="921"/>
      <c r="AI427" s="919">
        <v>15814.28</v>
      </c>
      <c r="AJ427" s="920"/>
      <c r="AK427" s="921"/>
      <c r="AL427" s="919">
        <v>15341.02</v>
      </c>
      <c r="AM427" s="920"/>
      <c r="AN427" s="921"/>
      <c r="AO427" s="919">
        <v>16655.73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25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25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25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>
        <v>0</v>
      </c>
      <c r="H430" s="919">
        <v>0</v>
      </c>
      <c r="I430" s="920"/>
      <c r="J430" s="921">
        <v>0</v>
      </c>
      <c r="K430" s="919">
        <v>0</v>
      </c>
      <c r="L430" s="920"/>
      <c r="M430" s="921">
        <v>0</v>
      </c>
      <c r="N430" s="919">
        <v>0</v>
      </c>
      <c r="O430" s="920"/>
      <c r="P430" s="921">
        <v>0</v>
      </c>
      <c r="Q430" s="919">
        <v>0</v>
      </c>
      <c r="R430" s="920"/>
      <c r="S430" s="921">
        <v>0</v>
      </c>
      <c r="T430" s="919">
        <v>0</v>
      </c>
      <c r="U430" s="920"/>
      <c r="V430" s="921">
        <v>0</v>
      </c>
      <c r="W430" s="919">
        <v>0</v>
      </c>
      <c r="X430" s="920"/>
      <c r="Y430" s="921">
        <v>0</v>
      </c>
      <c r="Z430" s="919">
        <v>0</v>
      </c>
      <c r="AA430" s="920"/>
      <c r="AB430" s="921">
        <v>0</v>
      </c>
      <c r="AC430" s="919">
        <v>0</v>
      </c>
      <c r="AD430" s="920"/>
      <c r="AE430" s="921">
        <v>0</v>
      </c>
      <c r="AF430" s="919">
        <v>0</v>
      </c>
      <c r="AG430" s="920"/>
      <c r="AH430" s="921">
        <v>0</v>
      </c>
      <c r="AI430" s="919">
        <v>0</v>
      </c>
      <c r="AJ430" s="920"/>
      <c r="AK430" s="921">
        <v>0</v>
      </c>
      <c r="AL430" s="919">
        <v>0</v>
      </c>
      <c r="AM430" s="920"/>
      <c r="AN430" s="921">
        <v>0</v>
      </c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25">
      <c r="A431" s="539" t="str">
        <f t="shared" si="8"/>
        <v>Salaires en absences</v>
      </c>
      <c r="B431" s="636" t="s">
        <v>113</v>
      </c>
      <c r="C431" s="922"/>
      <c r="D431" s="928">
        <v>0.11086812936345307</v>
      </c>
      <c r="E431" s="913">
        <v>274069.66999999981</v>
      </c>
      <c r="F431" s="922"/>
      <c r="G431" s="928">
        <v>0.1464602050087771</v>
      </c>
      <c r="H431" s="913">
        <v>28797.13</v>
      </c>
      <c r="I431" s="922"/>
      <c r="J431" s="928">
        <v>0.14583281828782405</v>
      </c>
      <c r="K431" s="913">
        <v>28314.55</v>
      </c>
      <c r="L431" s="922"/>
      <c r="M431" s="928">
        <v>7.0670533095107513E-2</v>
      </c>
      <c r="N431" s="913">
        <v>17637.04</v>
      </c>
      <c r="O431" s="922"/>
      <c r="P431" s="928">
        <v>3.8571790928632291E-2</v>
      </c>
      <c r="Q431" s="913">
        <v>11741.09</v>
      </c>
      <c r="R431" s="922"/>
      <c r="S431" s="928">
        <v>7.9723278882858573E-2</v>
      </c>
      <c r="T431" s="913">
        <v>27309.78</v>
      </c>
      <c r="U431" s="922"/>
      <c r="V431" s="928">
        <v>0.11281805750425389</v>
      </c>
      <c r="W431" s="913">
        <v>24395.11</v>
      </c>
      <c r="X431" s="922"/>
      <c r="Y431" s="928">
        <v>9.0608952330017631E-2</v>
      </c>
      <c r="Z431" s="913">
        <v>19679.96</v>
      </c>
      <c r="AA431" s="922"/>
      <c r="AB431" s="928">
        <v>8.268367171294129E-2</v>
      </c>
      <c r="AC431" s="913">
        <v>16500.059999999899</v>
      </c>
      <c r="AD431" s="922"/>
      <c r="AE431" s="928">
        <v>7.478346487440353E-2</v>
      </c>
      <c r="AF431" s="913">
        <v>19869.23</v>
      </c>
      <c r="AG431" s="922"/>
      <c r="AH431" s="928">
        <v>8.1955954145090631E-2</v>
      </c>
      <c r="AI431" s="913">
        <v>21094.0799999999</v>
      </c>
      <c r="AJ431" s="922"/>
      <c r="AK431" s="928">
        <v>5.8582358317188603E-2</v>
      </c>
      <c r="AL431" s="913">
        <v>17886.45</v>
      </c>
      <c r="AM431" s="922"/>
      <c r="AN431" s="928">
        <v>0.15308905438779602</v>
      </c>
      <c r="AO431" s="913">
        <v>40845.19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25">
      <c r="A432" s="539" t="str">
        <f t="shared" si="8"/>
        <v>Déduction à la source</v>
      </c>
      <c r="B432" s="639" t="s">
        <v>114</v>
      </c>
      <c r="C432" s="920"/>
      <c r="D432" s="929">
        <v>0.1241360349823166</v>
      </c>
      <c r="E432" s="919">
        <v>306868.36999999965</v>
      </c>
      <c r="F432" s="920"/>
      <c r="G432" s="929">
        <v>0.13935760119031126</v>
      </c>
      <c r="H432" s="919">
        <v>27400.61</v>
      </c>
      <c r="I432" s="920"/>
      <c r="J432" s="929">
        <v>0.12626567283485182</v>
      </c>
      <c r="K432" s="919">
        <v>24515.439999999999</v>
      </c>
      <c r="L432" s="920"/>
      <c r="M432" s="929">
        <v>0.10199228984910273</v>
      </c>
      <c r="N432" s="919">
        <v>25453.919999999998</v>
      </c>
      <c r="O432" s="920"/>
      <c r="P432" s="929">
        <v>9.5701658403466325E-2</v>
      </c>
      <c r="Q432" s="919">
        <v>29131.18</v>
      </c>
      <c r="R432" s="920"/>
      <c r="S432" s="929">
        <v>0.10416848388163864</v>
      </c>
      <c r="T432" s="919">
        <v>35683.659999999902</v>
      </c>
      <c r="U432" s="920"/>
      <c r="V432" s="929">
        <v>0.11572088378849056</v>
      </c>
      <c r="W432" s="919">
        <v>25022.799999999999</v>
      </c>
      <c r="X432" s="920"/>
      <c r="Y432" s="929">
        <v>0.11482336927495748</v>
      </c>
      <c r="Z432" s="919">
        <v>24939.25</v>
      </c>
      <c r="AA432" s="920"/>
      <c r="AB432" s="929">
        <v>0.10799119747820785</v>
      </c>
      <c r="AC432" s="919">
        <v>21550.34</v>
      </c>
      <c r="AD432" s="920"/>
      <c r="AE432" s="929">
        <v>7.5141061872259496E-2</v>
      </c>
      <c r="AF432" s="919">
        <v>19964.2399999999</v>
      </c>
      <c r="AG432" s="920"/>
      <c r="AH432" s="929">
        <v>9.7534364431732565E-2</v>
      </c>
      <c r="AI432" s="919">
        <v>25103.7</v>
      </c>
      <c r="AJ432" s="920"/>
      <c r="AK432" s="929">
        <v>7.5043599951578888E-2</v>
      </c>
      <c r="AL432" s="919">
        <v>22912.42</v>
      </c>
      <c r="AM432" s="920"/>
      <c r="AN432" s="929">
        <v>9.441594670419258E-2</v>
      </c>
      <c r="AO432" s="919">
        <v>25190.809999999899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25">
      <c r="A433" s="539" t="str">
        <f t="shared" si="8"/>
        <v>Bénéfices marginaux</v>
      </c>
      <c r="B433" s="642" t="s">
        <v>115</v>
      </c>
      <c r="C433" s="920"/>
      <c r="D433" s="929">
        <v>6.1385128133566599E-2</v>
      </c>
      <c r="E433" s="919">
        <v>151746.05999999991</v>
      </c>
      <c r="F433" s="920"/>
      <c r="G433" s="929">
        <v>6.3185313256452727E-2</v>
      </c>
      <c r="H433" s="919">
        <v>12423.55</v>
      </c>
      <c r="I433" s="920"/>
      <c r="J433" s="929">
        <v>7.17724158106611E-2</v>
      </c>
      <c r="K433" s="919">
        <v>13935.16</v>
      </c>
      <c r="L433" s="920"/>
      <c r="M433" s="929">
        <v>4.5467771993984399E-2</v>
      </c>
      <c r="N433" s="919">
        <v>11347.2599999999</v>
      </c>
      <c r="O433" s="920"/>
      <c r="P433" s="929">
        <v>4.0242576301241124E-2</v>
      </c>
      <c r="Q433" s="919">
        <v>12249.67</v>
      </c>
      <c r="R433" s="920"/>
      <c r="S433" s="929">
        <v>4.1441784489338961E-2</v>
      </c>
      <c r="T433" s="919">
        <v>14196.18</v>
      </c>
      <c r="U433" s="920"/>
      <c r="V433" s="929">
        <v>5.1468156570501924E-2</v>
      </c>
      <c r="W433" s="919">
        <v>11129.17</v>
      </c>
      <c r="X433" s="920"/>
      <c r="Y433" s="929">
        <v>6.0178969619419528E-2</v>
      </c>
      <c r="Z433" s="919">
        <v>13070.67</v>
      </c>
      <c r="AA433" s="920"/>
      <c r="AB433" s="929">
        <v>6.7553867589847716E-2</v>
      </c>
      <c r="AC433" s="919">
        <v>13480.81</v>
      </c>
      <c r="AD433" s="920"/>
      <c r="AE433" s="929">
        <v>4.383865943091983E-2</v>
      </c>
      <c r="AF433" s="919">
        <v>11647.5</v>
      </c>
      <c r="AG433" s="920"/>
      <c r="AH433" s="929">
        <v>5.8698680057236073E-2</v>
      </c>
      <c r="AI433" s="919">
        <v>15108.05</v>
      </c>
      <c r="AJ433" s="920"/>
      <c r="AK433" s="929">
        <v>2.6101802742709453E-2</v>
      </c>
      <c r="AL433" s="919">
        <v>7969.44</v>
      </c>
      <c r="AM433" s="920"/>
      <c r="AN433" s="929">
        <v>5.6927349621203341E-2</v>
      </c>
      <c r="AO433" s="919">
        <v>15188.6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25">
      <c r="A434" s="539" t="str">
        <f t="shared" si="8"/>
        <v>Csst</v>
      </c>
      <c r="B434" s="639" t="s">
        <v>116</v>
      </c>
      <c r="C434" s="920"/>
      <c r="D434" s="929">
        <v>1.2322991033258717E-2</v>
      </c>
      <c r="E434" s="919">
        <v>30462.840000000004</v>
      </c>
      <c r="F434" s="920"/>
      <c r="G434" s="929"/>
      <c r="H434" s="919">
        <v>2974.62</v>
      </c>
      <c r="I434" s="920"/>
      <c r="J434" s="929"/>
      <c r="K434" s="919">
        <v>4011.6000000000004</v>
      </c>
      <c r="L434" s="920"/>
      <c r="M434" s="929"/>
      <c r="N434" s="919">
        <v>2629.07</v>
      </c>
      <c r="O434" s="920"/>
      <c r="P434" s="929"/>
      <c r="Q434" s="919">
        <v>3503.11</v>
      </c>
      <c r="R434" s="920"/>
      <c r="S434" s="929"/>
      <c r="T434" s="919">
        <v>4332.22</v>
      </c>
      <c r="U434" s="920"/>
      <c r="V434" s="929"/>
      <c r="W434" s="919">
        <v>3259.18</v>
      </c>
      <c r="X434" s="920"/>
      <c r="Y434" s="929"/>
      <c r="Z434" s="919">
        <v>632.86</v>
      </c>
      <c r="AA434" s="920"/>
      <c r="AB434" s="929"/>
      <c r="AC434" s="919">
        <v>1883.07</v>
      </c>
      <c r="AD434" s="920"/>
      <c r="AE434" s="929"/>
      <c r="AF434" s="919">
        <v>1518.5500000000002</v>
      </c>
      <c r="AG434" s="920"/>
      <c r="AH434" s="929"/>
      <c r="AI434" s="919">
        <v>2123.2200000000003</v>
      </c>
      <c r="AJ434" s="920"/>
      <c r="AK434" s="929"/>
      <c r="AL434" s="919">
        <v>1966.2600000000002</v>
      </c>
      <c r="AM434" s="920"/>
      <c r="AN434" s="929"/>
      <c r="AO434" s="919">
        <v>1629.08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25">
      <c r="A435" s="539"/>
      <c r="B435" s="640"/>
      <c r="C435" s="920"/>
      <c r="D435" s="921"/>
      <c r="E435" s="919"/>
      <c r="F435" s="920"/>
      <c r="G435" s="921"/>
      <c r="H435" s="919"/>
      <c r="I435" s="920"/>
      <c r="J435" s="921"/>
      <c r="K435" s="919"/>
      <c r="L435" s="920"/>
      <c r="M435" s="921"/>
      <c r="N435" s="919"/>
      <c r="O435" s="920"/>
      <c r="P435" s="921"/>
      <c r="Q435" s="919"/>
      <c r="R435" s="920"/>
      <c r="S435" s="921"/>
      <c r="T435" s="919"/>
      <c r="U435" s="920"/>
      <c r="V435" s="921"/>
      <c r="W435" s="919"/>
      <c r="X435" s="920"/>
      <c r="Y435" s="921"/>
      <c r="Z435" s="919"/>
      <c r="AA435" s="920"/>
      <c r="AB435" s="921"/>
      <c r="AC435" s="919"/>
      <c r="AD435" s="920"/>
      <c r="AE435" s="921"/>
      <c r="AF435" s="919"/>
      <c r="AG435" s="920"/>
      <c r="AH435" s="921"/>
      <c r="AI435" s="919"/>
      <c r="AJ435" s="920"/>
      <c r="AK435" s="921"/>
      <c r="AL435" s="919"/>
      <c r="AM435" s="920"/>
      <c r="AN435" s="921"/>
      <c r="AO435" s="919"/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25">
      <c r="A436" s="539" t="str">
        <f t="shared" si="8"/>
        <v>TOTAL PERSONNEL</v>
      </c>
      <c r="B436" s="641" t="s">
        <v>117</v>
      </c>
      <c r="C436" s="924">
        <v>0.4230497595806213</v>
      </c>
      <c r="D436" s="930"/>
      <c r="E436" s="926">
        <v>1916351.5599999987</v>
      </c>
      <c r="F436" s="924"/>
      <c r="G436" s="930"/>
      <c r="H436" s="926">
        <v>158782.99</v>
      </c>
      <c r="I436" s="924"/>
      <c r="J436" s="930"/>
      <c r="K436" s="926">
        <v>156189.99</v>
      </c>
      <c r="L436" s="924"/>
      <c r="M436" s="930"/>
      <c r="N436" s="926">
        <v>144971.23000000001</v>
      </c>
      <c r="O436" s="924"/>
      <c r="P436" s="930"/>
      <c r="Q436" s="926">
        <v>153586.60999999999</v>
      </c>
      <c r="R436" s="924"/>
      <c r="S436" s="930"/>
      <c r="T436" s="926">
        <v>190702.75999999899</v>
      </c>
      <c r="U436" s="924"/>
      <c r="V436" s="930"/>
      <c r="W436" s="926">
        <v>150613.53</v>
      </c>
      <c r="X436" s="924"/>
      <c r="Y436" s="930"/>
      <c r="Z436" s="926">
        <v>147971.04</v>
      </c>
      <c r="AA436" s="924"/>
      <c r="AB436" s="930"/>
      <c r="AC436" s="926">
        <v>130923.95</v>
      </c>
      <c r="AD436" s="924"/>
      <c r="AE436" s="930"/>
      <c r="AF436" s="926">
        <v>152991.109999999</v>
      </c>
      <c r="AG436" s="924"/>
      <c r="AH436" s="930"/>
      <c r="AI436" s="926">
        <v>178834.65999999901</v>
      </c>
      <c r="AJ436" s="924"/>
      <c r="AK436" s="930"/>
      <c r="AL436" s="926">
        <v>164736.79999999999</v>
      </c>
      <c r="AM436" s="924"/>
      <c r="AN436" s="930"/>
      <c r="AO436" s="926">
        <v>186046.89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25">
      <c r="A437" s="539" t="str">
        <f t="shared" si="8"/>
        <v>Publicité 2</v>
      </c>
      <c r="B437" s="643" t="s">
        <v>118</v>
      </c>
      <c r="C437" s="931"/>
      <c r="D437" s="932"/>
      <c r="E437" s="933">
        <v>115459.4999999999</v>
      </c>
      <c r="F437" s="931"/>
      <c r="G437" s="932"/>
      <c r="H437" s="933">
        <v>6382.8</v>
      </c>
      <c r="I437" s="931"/>
      <c r="J437" s="932"/>
      <c r="K437" s="933">
        <v>6668.68</v>
      </c>
      <c r="L437" s="931"/>
      <c r="M437" s="932"/>
      <c r="N437" s="933">
        <v>11955.02</v>
      </c>
      <c r="O437" s="931"/>
      <c r="P437" s="932"/>
      <c r="Q437" s="933">
        <v>10623.46</v>
      </c>
      <c r="R437" s="931"/>
      <c r="S437" s="932"/>
      <c r="T437" s="933">
        <v>10966.24</v>
      </c>
      <c r="U437" s="931"/>
      <c r="V437" s="932"/>
      <c r="W437" s="933">
        <v>6318.68</v>
      </c>
      <c r="X437" s="931"/>
      <c r="Y437" s="932"/>
      <c r="Z437" s="933">
        <v>7019.74</v>
      </c>
      <c r="AA437" s="931"/>
      <c r="AB437" s="932"/>
      <c r="AC437" s="933">
        <v>6174.53</v>
      </c>
      <c r="AD437" s="931"/>
      <c r="AE437" s="932"/>
      <c r="AF437" s="933">
        <v>11117.7</v>
      </c>
      <c r="AG437" s="931"/>
      <c r="AH437" s="932"/>
      <c r="AI437" s="933">
        <v>12733.5099999999</v>
      </c>
      <c r="AJ437" s="931"/>
      <c r="AK437" s="932"/>
      <c r="AL437" s="933">
        <v>15355.34</v>
      </c>
      <c r="AM437" s="931"/>
      <c r="AN437" s="932"/>
      <c r="AO437" s="933">
        <v>10143.799999999999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25">
      <c r="A438" s="539" t="str">
        <f t="shared" si="8"/>
        <v>Service gratuit 2</v>
      </c>
      <c r="B438" s="639" t="s">
        <v>119</v>
      </c>
      <c r="C438" s="920"/>
      <c r="D438" s="921"/>
      <c r="E438" s="919">
        <v>46504.559999999976</v>
      </c>
      <c r="F438" s="920"/>
      <c r="G438" s="921"/>
      <c r="H438" s="919">
        <v>2379.12</v>
      </c>
      <c r="I438" s="920"/>
      <c r="J438" s="921"/>
      <c r="K438" s="919">
        <v>2861.08</v>
      </c>
      <c r="L438" s="920"/>
      <c r="M438" s="921"/>
      <c r="N438" s="919">
        <v>3131.7599999999902</v>
      </c>
      <c r="O438" s="920"/>
      <c r="P438" s="921"/>
      <c r="Q438" s="919">
        <v>5426.1399999999903</v>
      </c>
      <c r="R438" s="920"/>
      <c r="S438" s="921"/>
      <c r="T438" s="919">
        <v>4484.1899999999996</v>
      </c>
      <c r="U438" s="920"/>
      <c r="V438" s="921"/>
      <c r="W438" s="919">
        <v>2759.69</v>
      </c>
      <c r="X438" s="920"/>
      <c r="Y438" s="921"/>
      <c r="Z438" s="919">
        <v>6141.16</v>
      </c>
      <c r="AA438" s="920"/>
      <c r="AB438" s="921"/>
      <c r="AC438" s="919">
        <v>1836.89</v>
      </c>
      <c r="AD438" s="920"/>
      <c r="AE438" s="921"/>
      <c r="AF438" s="919">
        <v>2311.79</v>
      </c>
      <c r="AG438" s="920"/>
      <c r="AH438" s="921"/>
      <c r="AI438" s="919">
        <v>4956.34</v>
      </c>
      <c r="AJ438" s="920"/>
      <c r="AK438" s="921"/>
      <c r="AL438" s="919">
        <v>4650.79</v>
      </c>
      <c r="AM438" s="920"/>
      <c r="AN438" s="921"/>
      <c r="AO438" s="919">
        <v>5565.61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25">
      <c r="A439" s="539" t="str">
        <f t="shared" si="8"/>
        <v>Frais véhicules de cie</v>
      </c>
      <c r="B439" s="636" t="s">
        <v>120</v>
      </c>
      <c r="C439" s="922"/>
      <c r="D439" s="923"/>
      <c r="E439" s="913">
        <v>219838.99999999988</v>
      </c>
      <c r="F439" s="922"/>
      <c r="G439" s="923"/>
      <c r="H439" s="913">
        <v>14044.68</v>
      </c>
      <c r="I439" s="922"/>
      <c r="J439" s="923"/>
      <c r="K439" s="913">
        <v>15498.95</v>
      </c>
      <c r="L439" s="922"/>
      <c r="M439" s="923"/>
      <c r="N439" s="913">
        <v>6129.51</v>
      </c>
      <c r="O439" s="922"/>
      <c r="P439" s="923"/>
      <c r="Q439" s="913">
        <v>15447.359999999901</v>
      </c>
      <c r="R439" s="922"/>
      <c r="S439" s="923"/>
      <c r="T439" s="913">
        <v>19639</v>
      </c>
      <c r="U439" s="922"/>
      <c r="V439" s="923"/>
      <c r="W439" s="913">
        <v>18839.7</v>
      </c>
      <c r="X439" s="922"/>
      <c r="Y439" s="923"/>
      <c r="Z439" s="913">
        <v>20582.55</v>
      </c>
      <c r="AA439" s="922"/>
      <c r="AB439" s="923"/>
      <c r="AC439" s="913">
        <v>19624.740000000002</v>
      </c>
      <c r="AD439" s="922"/>
      <c r="AE439" s="923"/>
      <c r="AF439" s="913">
        <v>18616.03</v>
      </c>
      <c r="AG439" s="922"/>
      <c r="AH439" s="923"/>
      <c r="AI439" s="913">
        <v>20128.419999999998</v>
      </c>
      <c r="AJ439" s="922"/>
      <c r="AK439" s="923"/>
      <c r="AL439" s="913">
        <v>26018.78</v>
      </c>
      <c r="AM439" s="922"/>
      <c r="AN439" s="923"/>
      <c r="AO439" s="913">
        <v>25269.279999999999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25">
      <c r="A440" s="539" t="str">
        <f t="shared" si="8"/>
        <v>Informatique</v>
      </c>
      <c r="B440" s="639" t="s">
        <v>121</v>
      </c>
      <c r="C440" s="920"/>
      <c r="D440" s="921"/>
      <c r="E440" s="919">
        <v>165556.24999999983</v>
      </c>
      <c r="F440" s="920"/>
      <c r="G440" s="921"/>
      <c r="H440" s="919">
        <v>14080.4</v>
      </c>
      <c r="I440" s="920"/>
      <c r="J440" s="921"/>
      <c r="K440" s="919">
        <v>12791.65</v>
      </c>
      <c r="L440" s="920"/>
      <c r="M440" s="921"/>
      <c r="N440" s="919">
        <v>12781.66</v>
      </c>
      <c r="O440" s="920"/>
      <c r="P440" s="921"/>
      <c r="Q440" s="919">
        <v>13374.96</v>
      </c>
      <c r="R440" s="920"/>
      <c r="S440" s="921"/>
      <c r="T440" s="919">
        <v>14599.039999999901</v>
      </c>
      <c r="U440" s="920"/>
      <c r="V440" s="921"/>
      <c r="W440" s="919">
        <v>13522.42</v>
      </c>
      <c r="X440" s="920"/>
      <c r="Y440" s="921"/>
      <c r="Z440" s="919">
        <v>13687.95</v>
      </c>
      <c r="AA440" s="920"/>
      <c r="AB440" s="921"/>
      <c r="AC440" s="919">
        <v>14485.61</v>
      </c>
      <c r="AD440" s="920"/>
      <c r="AE440" s="921"/>
      <c r="AF440" s="919">
        <v>13050.62</v>
      </c>
      <c r="AG440" s="920"/>
      <c r="AH440" s="921"/>
      <c r="AI440" s="919">
        <v>15192.3499999999</v>
      </c>
      <c r="AJ440" s="920"/>
      <c r="AK440" s="921"/>
      <c r="AL440" s="919">
        <v>13448.39</v>
      </c>
      <c r="AM440" s="920"/>
      <c r="AN440" s="921"/>
      <c r="AO440" s="919">
        <v>14541.2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25">
      <c r="A441" s="539" t="str">
        <f t="shared" si="8"/>
        <v>Frais de déplacement</v>
      </c>
      <c r="B441" s="639" t="s">
        <v>122</v>
      </c>
      <c r="C441" s="920"/>
      <c r="D441" s="921"/>
      <c r="E441" s="919">
        <v>27925.209999999966</v>
      </c>
      <c r="F441" s="920"/>
      <c r="G441" s="921"/>
      <c r="H441" s="919">
        <v>1358.06</v>
      </c>
      <c r="I441" s="920"/>
      <c r="J441" s="921"/>
      <c r="K441" s="919">
        <v>989.13</v>
      </c>
      <c r="L441" s="920"/>
      <c r="M441" s="921"/>
      <c r="N441" s="919">
        <v>6367.12</v>
      </c>
      <c r="O441" s="920"/>
      <c r="P441" s="921"/>
      <c r="Q441" s="919">
        <v>3458.79</v>
      </c>
      <c r="R441" s="920"/>
      <c r="S441" s="921"/>
      <c r="T441" s="919">
        <v>1871.72</v>
      </c>
      <c r="U441" s="920"/>
      <c r="V441" s="921"/>
      <c r="W441" s="919">
        <v>1949.3499999999899</v>
      </c>
      <c r="X441" s="920"/>
      <c r="Y441" s="921"/>
      <c r="Z441" s="919">
        <v>1863.3399999999899</v>
      </c>
      <c r="AA441" s="920"/>
      <c r="AB441" s="921"/>
      <c r="AC441" s="919">
        <v>2081.9699999999998</v>
      </c>
      <c r="AD441" s="920"/>
      <c r="AE441" s="921"/>
      <c r="AF441" s="919">
        <v>2000.99999999999</v>
      </c>
      <c r="AG441" s="920"/>
      <c r="AH441" s="921"/>
      <c r="AI441" s="919">
        <v>2158.02</v>
      </c>
      <c r="AJ441" s="920"/>
      <c r="AK441" s="921"/>
      <c r="AL441" s="919">
        <v>1920.14</v>
      </c>
      <c r="AM441" s="920"/>
      <c r="AN441" s="921"/>
      <c r="AO441" s="919">
        <v>1906.57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25">
      <c r="A442" s="539" t="str">
        <f t="shared" si="8"/>
        <v>Services extérieurs</v>
      </c>
      <c r="B442" s="639" t="s">
        <v>123</v>
      </c>
      <c r="C442" s="934"/>
      <c r="D442" s="935"/>
      <c r="E442" s="936">
        <v>145609.50999999981</v>
      </c>
      <c r="F442" s="934"/>
      <c r="G442" s="935"/>
      <c r="H442" s="936">
        <v>10070.459999999999</v>
      </c>
      <c r="I442" s="934"/>
      <c r="J442" s="935"/>
      <c r="K442" s="936">
        <v>10700.779999999901</v>
      </c>
      <c r="L442" s="934"/>
      <c r="M442" s="935"/>
      <c r="N442" s="936">
        <v>11123.43</v>
      </c>
      <c r="O442" s="934"/>
      <c r="P442" s="935"/>
      <c r="Q442" s="936">
        <v>10883.84</v>
      </c>
      <c r="R442" s="934"/>
      <c r="S442" s="935"/>
      <c r="T442" s="936">
        <v>13586.82</v>
      </c>
      <c r="U442" s="934"/>
      <c r="V442" s="935"/>
      <c r="W442" s="936">
        <v>13832.08</v>
      </c>
      <c r="X442" s="934"/>
      <c r="Y442" s="935"/>
      <c r="Z442" s="936">
        <v>11549.84</v>
      </c>
      <c r="AA442" s="934"/>
      <c r="AB442" s="935"/>
      <c r="AC442" s="936">
        <v>11244.82</v>
      </c>
      <c r="AD442" s="934"/>
      <c r="AE442" s="935"/>
      <c r="AF442" s="936">
        <v>11035.69</v>
      </c>
      <c r="AG442" s="934"/>
      <c r="AH442" s="935"/>
      <c r="AI442" s="936">
        <v>14264.3999999999</v>
      </c>
      <c r="AJ442" s="934"/>
      <c r="AK442" s="935"/>
      <c r="AL442" s="936">
        <v>14739.76</v>
      </c>
      <c r="AM442" s="934"/>
      <c r="AN442" s="935"/>
      <c r="AO442" s="936">
        <v>12577.59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25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25">
      <c r="A444" s="539" t="str">
        <f t="shared" si="8"/>
        <v>Fournitures autres</v>
      </c>
      <c r="B444" s="643" t="s">
        <v>124</v>
      </c>
      <c r="C444" s="920"/>
      <c r="D444" s="937"/>
      <c r="E444" s="919">
        <v>16064.719999999988</v>
      </c>
      <c r="F444" s="920"/>
      <c r="G444" s="937"/>
      <c r="H444" s="919">
        <v>1175.8</v>
      </c>
      <c r="I444" s="920"/>
      <c r="J444" s="937"/>
      <c r="K444" s="919">
        <v>1000.71</v>
      </c>
      <c r="L444" s="920"/>
      <c r="M444" s="937"/>
      <c r="N444" s="919">
        <v>2130.4699999999998</v>
      </c>
      <c r="O444" s="920"/>
      <c r="P444" s="937"/>
      <c r="Q444" s="919">
        <v>-26.47</v>
      </c>
      <c r="R444" s="920"/>
      <c r="S444" s="937"/>
      <c r="T444" s="919">
        <v>696.46</v>
      </c>
      <c r="U444" s="920"/>
      <c r="V444" s="937"/>
      <c r="W444" s="919">
        <v>765.73</v>
      </c>
      <c r="X444" s="920"/>
      <c r="Y444" s="937"/>
      <c r="Z444" s="919">
        <v>1032.8799999999901</v>
      </c>
      <c r="AA444" s="920"/>
      <c r="AB444" s="937"/>
      <c r="AC444" s="919">
        <v>1579.25</v>
      </c>
      <c r="AD444" s="920"/>
      <c r="AE444" s="937"/>
      <c r="AF444" s="919">
        <v>520.05999999999995</v>
      </c>
      <c r="AG444" s="920"/>
      <c r="AH444" s="937"/>
      <c r="AI444" s="919">
        <v>2684.08</v>
      </c>
      <c r="AJ444" s="920"/>
      <c r="AK444" s="937"/>
      <c r="AL444" s="919">
        <v>612.36</v>
      </c>
      <c r="AM444" s="920"/>
      <c r="AN444" s="937"/>
      <c r="AO444" s="919">
        <v>3893.39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25">
      <c r="A445" s="539" t="str">
        <f t="shared" si="8"/>
        <v>Uniformes</v>
      </c>
      <c r="B445" s="639" t="s">
        <v>125</v>
      </c>
      <c r="C445" s="920"/>
      <c r="D445" s="921"/>
      <c r="E445" s="919">
        <v>14490.84</v>
      </c>
      <c r="F445" s="920"/>
      <c r="G445" s="921"/>
      <c r="H445" s="919">
        <v>888.43</v>
      </c>
      <c r="I445" s="920"/>
      <c r="J445" s="921"/>
      <c r="K445" s="919">
        <v>834.79</v>
      </c>
      <c r="L445" s="920"/>
      <c r="M445" s="921"/>
      <c r="N445" s="919">
        <v>920.35</v>
      </c>
      <c r="O445" s="920"/>
      <c r="P445" s="921"/>
      <c r="Q445" s="919">
        <v>1182</v>
      </c>
      <c r="R445" s="920"/>
      <c r="S445" s="921"/>
      <c r="T445" s="919">
        <v>563.67999999999995</v>
      </c>
      <c r="U445" s="920"/>
      <c r="V445" s="921"/>
      <c r="W445" s="919">
        <v>1326.84</v>
      </c>
      <c r="X445" s="920"/>
      <c r="Y445" s="921"/>
      <c r="Z445" s="919">
        <v>1684.06</v>
      </c>
      <c r="AA445" s="920"/>
      <c r="AB445" s="921"/>
      <c r="AC445" s="919">
        <v>2009.83</v>
      </c>
      <c r="AD445" s="920"/>
      <c r="AE445" s="921"/>
      <c r="AF445" s="919">
        <v>1072.2</v>
      </c>
      <c r="AG445" s="920"/>
      <c r="AH445" s="921"/>
      <c r="AI445" s="919">
        <v>739.84</v>
      </c>
      <c r="AJ445" s="920"/>
      <c r="AK445" s="921"/>
      <c r="AL445" s="919">
        <v>2026.62</v>
      </c>
      <c r="AM445" s="920"/>
      <c r="AN445" s="921"/>
      <c r="AO445" s="919">
        <v>1242.2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25">
      <c r="A446" s="539" t="str">
        <f t="shared" si="8"/>
        <v>Papeterie</v>
      </c>
      <c r="B446" s="639" t="s">
        <v>126</v>
      </c>
      <c r="C446" s="920"/>
      <c r="D446" s="921"/>
      <c r="E446" s="919">
        <v>17261.149999999998</v>
      </c>
      <c r="F446" s="920"/>
      <c r="G446" s="921"/>
      <c r="H446" s="919">
        <v>1685.84</v>
      </c>
      <c r="I446" s="920"/>
      <c r="J446" s="921"/>
      <c r="K446" s="919">
        <v>1511.47</v>
      </c>
      <c r="L446" s="920"/>
      <c r="M446" s="921"/>
      <c r="N446" s="919">
        <v>848.35999999999899</v>
      </c>
      <c r="O446" s="920"/>
      <c r="P446" s="921"/>
      <c r="Q446" s="919">
        <v>1207.31</v>
      </c>
      <c r="R446" s="920"/>
      <c r="S446" s="921"/>
      <c r="T446" s="919">
        <v>1881.23</v>
      </c>
      <c r="U446" s="920"/>
      <c r="V446" s="921"/>
      <c r="W446" s="919">
        <v>1117.32</v>
      </c>
      <c r="X446" s="920"/>
      <c r="Y446" s="921"/>
      <c r="Z446" s="919">
        <v>1669.59</v>
      </c>
      <c r="AA446" s="920"/>
      <c r="AB446" s="921"/>
      <c r="AC446" s="919">
        <v>1966.23</v>
      </c>
      <c r="AD446" s="920"/>
      <c r="AE446" s="921"/>
      <c r="AF446" s="919">
        <v>751.43999999999903</v>
      </c>
      <c r="AG446" s="920"/>
      <c r="AH446" s="921"/>
      <c r="AI446" s="919">
        <v>1903.85</v>
      </c>
      <c r="AJ446" s="920"/>
      <c r="AK446" s="921"/>
      <c r="AL446" s="919">
        <v>1644.41</v>
      </c>
      <c r="AM446" s="920"/>
      <c r="AN446" s="921"/>
      <c r="AO446" s="919">
        <v>1074.0999999999999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25">
      <c r="A447" s="539" t="str">
        <f t="shared" si="8"/>
        <v>Téléphone</v>
      </c>
      <c r="B447" s="639" t="s">
        <v>127</v>
      </c>
      <c r="C447" s="920"/>
      <c r="D447" s="921"/>
      <c r="E447" s="919">
        <v>6819.9700000000012</v>
      </c>
      <c r="F447" s="920"/>
      <c r="G447" s="921"/>
      <c r="H447" s="919">
        <v>489.93</v>
      </c>
      <c r="I447" s="920"/>
      <c r="J447" s="921"/>
      <c r="K447" s="919">
        <v>488.81</v>
      </c>
      <c r="L447" s="920"/>
      <c r="M447" s="921"/>
      <c r="N447" s="919">
        <v>612.26</v>
      </c>
      <c r="O447" s="920"/>
      <c r="P447" s="921"/>
      <c r="Q447" s="919">
        <v>561.23</v>
      </c>
      <c r="R447" s="920"/>
      <c r="S447" s="921"/>
      <c r="T447" s="919">
        <v>531.70000000000005</v>
      </c>
      <c r="U447" s="920"/>
      <c r="V447" s="921"/>
      <c r="W447" s="919">
        <v>816.29</v>
      </c>
      <c r="X447" s="920"/>
      <c r="Y447" s="921"/>
      <c r="Z447" s="919">
        <v>470.89</v>
      </c>
      <c r="AA447" s="920"/>
      <c r="AB447" s="921"/>
      <c r="AC447" s="919">
        <v>457.29</v>
      </c>
      <c r="AD447" s="920"/>
      <c r="AE447" s="921"/>
      <c r="AF447" s="919">
        <v>457.03</v>
      </c>
      <c r="AG447" s="920"/>
      <c r="AH447" s="921"/>
      <c r="AI447" s="919">
        <v>474.14</v>
      </c>
      <c r="AJ447" s="920"/>
      <c r="AK447" s="921"/>
      <c r="AL447" s="919">
        <v>987.09</v>
      </c>
      <c r="AM447" s="920"/>
      <c r="AN447" s="921"/>
      <c r="AO447" s="919">
        <v>473.31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25">
      <c r="A448" s="539" t="str">
        <f t="shared" si="8"/>
        <v>Frais postaux</v>
      </c>
      <c r="B448" s="639" t="s">
        <v>128</v>
      </c>
      <c r="C448" s="920"/>
      <c r="D448" s="921"/>
      <c r="E448" s="919">
        <v>11402.679999999997</v>
      </c>
      <c r="F448" s="920"/>
      <c r="G448" s="921"/>
      <c r="H448" s="919">
        <v>1136.53</v>
      </c>
      <c r="I448" s="920"/>
      <c r="J448" s="921"/>
      <c r="K448" s="919">
        <v>1473.71</v>
      </c>
      <c r="L448" s="920"/>
      <c r="M448" s="921"/>
      <c r="N448" s="919">
        <v>1600.52</v>
      </c>
      <c r="O448" s="920"/>
      <c r="P448" s="921"/>
      <c r="Q448" s="919">
        <v>1431.34</v>
      </c>
      <c r="R448" s="920"/>
      <c r="S448" s="921"/>
      <c r="T448" s="919">
        <v>125.109999999999</v>
      </c>
      <c r="U448" s="920"/>
      <c r="V448" s="921"/>
      <c r="W448" s="919">
        <v>866.07999999999902</v>
      </c>
      <c r="X448" s="920"/>
      <c r="Y448" s="921"/>
      <c r="Z448" s="919">
        <v>321.39</v>
      </c>
      <c r="AA448" s="920"/>
      <c r="AB448" s="921"/>
      <c r="AC448" s="919">
        <v>-186.54</v>
      </c>
      <c r="AD448" s="920"/>
      <c r="AE448" s="921"/>
      <c r="AF448" s="919">
        <v>974.94</v>
      </c>
      <c r="AG448" s="920"/>
      <c r="AH448" s="921"/>
      <c r="AI448" s="919">
        <v>1782.08</v>
      </c>
      <c r="AJ448" s="920"/>
      <c r="AK448" s="921"/>
      <c r="AL448" s="919">
        <v>933.29</v>
      </c>
      <c r="AM448" s="920"/>
      <c r="AN448" s="921"/>
      <c r="AO448" s="919">
        <v>944.23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25">
      <c r="A449" s="539" t="str">
        <f t="shared" si="8"/>
        <v>Divers</v>
      </c>
      <c r="B449" s="639" t="s">
        <v>129</v>
      </c>
      <c r="C449" s="920"/>
      <c r="D449" s="921"/>
      <c r="E449" s="919">
        <v>21058.589999999978</v>
      </c>
      <c r="F449" s="920"/>
      <c r="G449" s="921"/>
      <c r="H449" s="919">
        <v>2136.81</v>
      </c>
      <c r="I449" s="920"/>
      <c r="J449" s="921"/>
      <c r="K449" s="919">
        <v>1451.5</v>
      </c>
      <c r="L449" s="920"/>
      <c r="M449" s="921"/>
      <c r="N449" s="919">
        <v>1614.5</v>
      </c>
      <c r="O449" s="920"/>
      <c r="P449" s="921"/>
      <c r="Q449" s="919">
        <v>1851</v>
      </c>
      <c r="R449" s="920"/>
      <c r="S449" s="921"/>
      <c r="T449" s="919">
        <v>1446</v>
      </c>
      <c r="U449" s="920"/>
      <c r="V449" s="921"/>
      <c r="W449" s="919">
        <v>1446</v>
      </c>
      <c r="X449" s="920"/>
      <c r="Y449" s="921"/>
      <c r="Z449" s="919">
        <v>1446</v>
      </c>
      <c r="AA449" s="920"/>
      <c r="AB449" s="921"/>
      <c r="AC449" s="919">
        <v>1851</v>
      </c>
      <c r="AD449" s="920"/>
      <c r="AE449" s="921"/>
      <c r="AF449" s="919">
        <v>2336</v>
      </c>
      <c r="AG449" s="920"/>
      <c r="AH449" s="921"/>
      <c r="AI449" s="919">
        <v>1446</v>
      </c>
      <c r="AJ449" s="920"/>
      <c r="AK449" s="921"/>
      <c r="AL449" s="919">
        <v>1643.99999999999</v>
      </c>
      <c r="AM449" s="920"/>
      <c r="AN449" s="921"/>
      <c r="AO449" s="919">
        <v>2389.7799999999902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25">
      <c r="A450" s="539" t="str">
        <f t="shared" si="8"/>
        <v>Formation</v>
      </c>
      <c r="B450" s="639" t="s">
        <v>130</v>
      </c>
      <c r="C450" s="920"/>
      <c r="D450" s="921"/>
      <c r="E450" s="919">
        <v>17537.199999999979</v>
      </c>
      <c r="F450" s="920"/>
      <c r="G450" s="921"/>
      <c r="H450" s="919">
        <v>-1533.03</v>
      </c>
      <c r="I450" s="920"/>
      <c r="J450" s="921"/>
      <c r="K450" s="919">
        <v>3071.81</v>
      </c>
      <c r="L450" s="920"/>
      <c r="M450" s="921"/>
      <c r="N450" s="919">
        <v>1555.75</v>
      </c>
      <c r="O450" s="920"/>
      <c r="P450" s="921"/>
      <c r="Q450" s="919">
        <v>877.86</v>
      </c>
      <c r="R450" s="920"/>
      <c r="S450" s="921"/>
      <c r="T450" s="919">
        <v>1784.51</v>
      </c>
      <c r="U450" s="920"/>
      <c r="V450" s="921"/>
      <c r="W450" s="919">
        <v>943.81</v>
      </c>
      <c r="X450" s="920"/>
      <c r="Y450" s="921"/>
      <c r="Z450" s="919">
        <v>2088.16</v>
      </c>
      <c r="AA450" s="920"/>
      <c r="AB450" s="921"/>
      <c r="AC450" s="919">
        <v>2166.61</v>
      </c>
      <c r="AD450" s="920"/>
      <c r="AE450" s="921"/>
      <c r="AF450" s="919">
        <v>769.27</v>
      </c>
      <c r="AG450" s="920"/>
      <c r="AH450" s="921"/>
      <c r="AI450" s="919">
        <v>3002.4699999999898</v>
      </c>
      <c r="AJ450" s="920"/>
      <c r="AK450" s="921"/>
      <c r="AL450" s="919">
        <v>2468.72999999999</v>
      </c>
      <c r="AM450" s="920"/>
      <c r="AN450" s="921"/>
      <c r="AO450" s="919">
        <v>341.25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25">
      <c r="A451" s="539" t="str">
        <f t="shared" si="8"/>
        <v>Frais bancaires</v>
      </c>
      <c r="B451" s="639" t="s">
        <v>131</v>
      </c>
      <c r="C451" s="920"/>
      <c r="D451" s="921"/>
      <c r="E451" s="919">
        <v>79740.439999999871</v>
      </c>
      <c r="F451" s="920"/>
      <c r="G451" s="921"/>
      <c r="H451" s="919">
        <v>3513.76</v>
      </c>
      <c r="I451" s="920"/>
      <c r="J451" s="921"/>
      <c r="K451" s="919">
        <v>3649.91</v>
      </c>
      <c r="L451" s="920"/>
      <c r="M451" s="921"/>
      <c r="N451" s="919">
        <v>6111.91</v>
      </c>
      <c r="O451" s="920"/>
      <c r="P451" s="921"/>
      <c r="Q451" s="919">
        <v>9751.2199999999993</v>
      </c>
      <c r="R451" s="920"/>
      <c r="S451" s="921"/>
      <c r="T451" s="919">
        <v>9131.23</v>
      </c>
      <c r="U451" s="920"/>
      <c r="V451" s="921"/>
      <c r="W451" s="919">
        <v>5470.3199999999897</v>
      </c>
      <c r="X451" s="920"/>
      <c r="Y451" s="921"/>
      <c r="Z451" s="919">
        <v>6652.8099999999904</v>
      </c>
      <c r="AA451" s="920"/>
      <c r="AB451" s="921"/>
      <c r="AC451" s="919">
        <v>4439.45</v>
      </c>
      <c r="AD451" s="920"/>
      <c r="AE451" s="921"/>
      <c r="AF451" s="919">
        <v>5921.58</v>
      </c>
      <c r="AG451" s="920"/>
      <c r="AH451" s="921"/>
      <c r="AI451" s="919">
        <v>8774.53999999999</v>
      </c>
      <c r="AJ451" s="920"/>
      <c r="AK451" s="921"/>
      <c r="AL451" s="919">
        <v>10642.3499999999</v>
      </c>
      <c r="AM451" s="920"/>
      <c r="AN451" s="921"/>
      <c r="AO451" s="919">
        <v>5681.36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25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/>
      <c r="I452" s="920"/>
      <c r="J452" s="921"/>
      <c r="K452" s="919"/>
      <c r="L452" s="920"/>
      <c r="M452" s="921"/>
      <c r="N452" s="919"/>
      <c r="O452" s="920"/>
      <c r="P452" s="921"/>
      <c r="Q452" s="919"/>
      <c r="R452" s="920"/>
      <c r="S452" s="921"/>
      <c r="T452" s="919"/>
      <c r="U452" s="920"/>
      <c r="V452" s="921"/>
      <c r="W452" s="919"/>
      <c r="X452" s="920"/>
      <c r="Y452" s="921"/>
      <c r="Z452" s="919"/>
      <c r="AA452" s="920"/>
      <c r="AB452" s="921"/>
      <c r="AC452" s="919"/>
      <c r="AD452" s="920"/>
      <c r="AE452" s="921"/>
      <c r="AF452" s="919"/>
      <c r="AG452" s="920"/>
      <c r="AH452" s="921"/>
      <c r="AI452" s="919"/>
      <c r="AJ452" s="920"/>
      <c r="AK452" s="921"/>
      <c r="AL452" s="919"/>
      <c r="AM452" s="920"/>
      <c r="AN452" s="921"/>
      <c r="AO452" s="919"/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25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/>
      <c r="I453" s="920"/>
      <c r="J453" s="921"/>
      <c r="K453" s="919"/>
      <c r="L453" s="920"/>
      <c r="M453" s="921"/>
      <c r="N453" s="919"/>
      <c r="O453" s="920"/>
      <c r="P453" s="921"/>
      <c r="Q453" s="919"/>
      <c r="R453" s="920"/>
      <c r="S453" s="921"/>
      <c r="T453" s="919"/>
      <c r="U453" s="920"/>
      <c r="V453" s="921"/>
      <c r="W453" s="919"/>
      <c r="X453" s="920"/>
      <c r="Y453" s="921"/>
      <c r="Z453" s="919"/>
      <c r="AA453" s="920"/>
      <c r="AB453" s="921"/>
      <c r="AC453" s="919"/>
      <c r="AD453" s="920"/>
      <c r="AE453" s="921"/>
      <c r="AF453" s="919"/>
      <c r="AG453" s="920"/>
      <c r="AH453" s="921"/>
      <c r="AI453" s="919"/>
      <c r="AJ453" s="920"/>
      <c r="AK453" s="921"/>
      <c r="AL453" s="919"/>
      <c r="AM453" s="920"/>
      <c r="AN453" s="921"/>
      <c r="AO453" s="919"/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25">
      <c r="A454" s="539">
        <f t="shared" si="8"/>
        <v>0</v>
      </c>
      <c r="B454" s="639"/>
      <c r="C454" s="920"/>
      <c r="D454" s="921"/>
      <c r="E454" s="919"/>
      <c r="F454" s="920"/>
      <c r="G454" s="921"/>
      <c r="H454" s="919"/>
      <c r="I454" s="920"/>
      <c r="J454" s="921"/>
      <c r="K454" s="919"/>
      <c r="L454" s="920"/>
      <c r="M454" s="921"/>
      <c r="N454" s="919"/>
      <c r="O454" s="920"/>
      <c r="P454" s="921"/>
      <c r="Q454" s="919"/>
      <c r="R454" s="920"/>
      <c r="S454" s="921"/>
      <c r="T454" s="919"/>
      <c r="U454" s="920"/>
      <c r="V454" s="921"/>
      <c r="W454" s="919"/>
      <c r="X454" s="920"/>
      <c r="Y454" s="921"/>
      <c r="Z454" s="919"/>
      <c r="AA454" s="920"/>
      <c r="AB454" s="921"/>
      <c r="AC454" s="919"/>
      <c r="AD454" s="920"/>
      <c r="AE454" s="921"/>
      <c r="AF454" s="919"/>
      <c r="AG454" s="920"/>
      <c r="AH454" s="921"/>
      <c r="AI454" s="919"/>
      <c r="AJ454" s="920"/>
      <c r="AK454" s="921"/>
      <c r="AL454" s="919"/>
      <c r="AM454" s="920"/>
      <c r="AN454" s="921"/>
      <c r="AO454" s="919"/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25">
      <c r="A455" s="539" t="str">
        <f t="shared" si="8"/>
        <v>TOTAL SEMI-FIXES</v>
      </c>
      <c r="B455" s="641" t="s">
        <v>132</v>
      </c>
      <c r="C455" s="924">
        <v>0.19984542663802266</v>
      </c>
      <c r="D455" s="925"/>
      <c r="E455" s="926">
        <v>905269.61999999906</v>
      </c>
      <c r="F455" s="924"/>
      <c r="G455" s="925"/>
      <c r="H455" s="926">
        <v>57809.59</v>
      </c>
      <c r="I455" s="924"/>
      <c r="J455" s="925"/>
      <c r="K455" s="926">
        <v>62992.979999999901</v>
      </c>
      <c r="L455" s="924"/>
      <c r="M455" s="925"/>
      <c r="N455" s="926">
        <v>66882.62</v>
      </c>
      <c r="O455" s="924"/>
      <c r="P455" s="925"/>
      <c r="Q455" s="926">
        <v>76050.039999999994</v>
      </c>
      <c r="R455" s="924"/>
      <c r="S455" s="925"/>
      <c r="T455" s="926">
        <v>81306.929999999906</v>
      </c>
      <c r="U455" s="924"/>
      <c r="V455" s="925"/>
      <c r="W455" s="926">
        <v>69974.31</v>
      </c>
      <c r="X455" s="924"/>
      <c r="Y455" s="925"/>
      <c r="Z455" s="926">
        <v>76210.359999999899</v>
      </c>
      <c r="AA455" s="924"/>
      <c r="AB455" s="925"/>
      <c r="AC455" s="926">
        <v>69731.679999999993</v>
      </c>
      <c r="AD455" s="924"/>
      <c r="AE455" s="925"/>
      <c r="AF455" s="926">
        <v>70935.349999999904</v>
      </c>
      <c r="AG455" s="924"/>
      <c r="AH455" s="925"/>
      <c r="AI455" s="926">
        <v>90240.04</v>
      </c>
      <c r="AJ455" s="924"/>
      <c r="AK455" s="925"/>
      <c r="AL455" s="926">
        <v>97092.049999999901</v>
      </c>
      <c r="AM455" s="924"/>
      <c r="AN455" s="925"/>
      <c r="AO455" s="926">
        <v>86043.67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25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25">
      <c r="A457" s="539" t="str">
        <f t="shared" si="8"/>
        <v>Taxes foncières</v>
      </c>
      <c r="B457" s="639" t="s">
        <v>226</v>
      </c>
      <c r="C457" s="920"/>
      <c r="D457" s="921"/>
      <c r="E457" s="927">
        <v>68445.899999999994</v>
      </c>
      <c r="F457" s="920"/>
      <c r="G457" s="921"/>
      <c r="H457" s="927">
        <v>5872.14</v>
      </c>
      <c r="I457" s="920"/>
      <c r="J457" s="921"/>
      <c r="K457" s="927">
        <v>5872.14</v>
      </c>
      <c r="L457" s="920"/>
      <c r="M457" s="921"/>
      <c r="N457" s="927">
        <v>5872.14</v>
      </c>
      <c r="O457" s="920"/>
      <c r="P457" s="921"/>
      <c r="Q457" s="927">
        <v>5872.14</v>
      </c>
      <c r="R457" s="920"/>
      <c r="S457" s="921"/>
      <c r="T457" s="927">
        <v>5872.14</v>
      </c>
      <c r="U457" s="920"/>
      <c r="V457" s="921"/>
      <c r="W457" s="927">
        <v>5872.14</v>
      </c>
      <c r="X457" s="920"/>
      <c r="Y457" s="921"/>
      <c r="Z457" s="927">
        <v>5535.51</v>
      </c>
      <c r="AA457" s="920"/>
      <c r="AB457" s="921"/>
      <c r="AC457" s="927">
        <v>5535.51</v>
      </c>
      <c r="AD457" s="920"/>
      <c r="AE457" s="921"/>
      <c r="AF457" s="927">
        <v>5535.51</v>
      </c>
      <c r="AG457" s="920"/>
      <c r="AH457" s="921"/>
      <c r="AI457" s="927">
        <v>5535.5099999999902</v>
      </c>
      <c r="AJ457" s="920"/>
      <c r="AK457" s="921"/>
      <c r="AL457" s="927">
        <v>5535.51</v>
      </c>
      <c r="AM457" s="920"/>
      <c r="AN457" s="921"/>
      <c r="AO457" s="927">
        <v>5535.51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25">
      <c r="A458" s="539" t="str">
        <f t="shared" si="8"/>
        <v>Taxes d`affaires</v>
      </c>
      <c r="B458" s="636" t="s">
        <v>228</v>
      </c>
      <c r="C458" s="922"/>
      <c r="D458" s="923"/>
      <c r="E458" s="938">
        <v>29333.92999999996</v>
      </c>
      <c r="F458" s="922"/>
      <c r="G458" s="923"/>
      <c r="H458" s="938">
        <v>2516.63</v>
      </c>
      <c r="I458" s="922"/>
      <c r="J458" s="923"/>
      <c r="K458" s="938">
        <v>2516.63</v>
      </c>
      <c r="L458" s="922"/>
      <c r="M458" s="923"/>
      <c r="N458" s="938">
        <v>2516.63</v>
      </c>
      <c r="O458" s="922"/>
      <c r="P458" s="923"/>
      <c r="Q458" s="938">
        <v>2516.63</v>
      </c>
      <c r="R458" s="922"/>
      <c r="S458" s="923"/>
      <c r="T458" s="938">
        <v>2516.63</v>
      </c>
      <c r="U458" s="922"/>
      <c r="V458" s="923"/>
      <c r="W458" s="938">
        <v>2516.63</v>
      </c>
      <c r="X458" s="922"/>
      <c r="Y458" s="923"/>
      <c r="Z458" s="938">
        <v>2372.3599999999901</v>
      </c>
      <c r="AA458" s="922"/>
      <c r="AB458" s="923"/>
      <c r="AC458" s="938">
        <v>2372.3599999999901</v>
      </c>
      <c r="AD458" s="922"/>
      <c r="AE458" s="923"/>
      <c r="AF458" s="938">
        <v>2372.3599999999901</v>
      </c>
      <c r="AG458" s="922"/>
      <c r="AH458" s="923"/>
      <c r="AI458" s="938">
        <v>2372.36</v>
      </c>
      <c r="AJ458" s="922"/>
      <c r="AK458" s="923"/>
      <c r="AL458" s="938">
        <v>2372.3599999999901</v>
      </c>
      <c r="AM458" s="922"/>
      <c r="AN458" s="923"/>
      <c r="AO458" s="938">
        <v>2372.35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25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25">
      <c r="A460" s="539" t="str">
        <f t="shared" si="8"/>
        <v>Assurances</v>
      </c>
      <c r="B460" s="636" t="s">
        <v>231</v>
      </c>
      <c r="C460" s="922"/>
      <c r="D460" s="923"/>
      <c r="E460" s="938">
        <v>53510.45</v>
      </c>
      <c r="F460" s="922"/>
      <c r="G460" s="923"/>
      <c r="H460" s="938">
        <v>4349.75</v>
      </c>
      <c r="I460" s="922"/>
      <c r="J460" s="923"/>
      <c r="K460" s="938">
        <v>4349.75</v>
      </c>
      <c r="L460" s="922"/>
      <c r="M460" s="923"/>
      <c r="N460" s="938">
        <v>4349.75</v>
      </c>
      <c r="O460" s="922"/>
      <c r="P460" s="923"/>
      <c r="Q460" s="938">
        <v>4349.75</v>
      </c>
      <c r="R460" s="922"/>
      <c r="S460" s="923"/>
      <c r="T460" s="938">
        <v>4349.75</v>
      </c>
      <c r="U460" s="922"/>
      <c r="V460" s="923"/>
      <c r="W460" s="938">
        <v>4349.75</v>
      </c>
      <c r="X460" s="922"/>
      <c r="Y460" s="923"/>
      <c r="Z460" s="938">
        <v>5663.2</v>
      </c>
      <c r="AA460" s="922"/>
      <c r="AB460" s="923"/>
      <c r="AC460" s="938">
        <v>4349.75</v>
      </c>
      <c r="AD460" s="922"/>
      <c r="AE460" s="923"/>
      <c r="AF460" s="938">
        <v>4349.75</v>
      </c>
      <c r="AG460" s="922"/>
      <c r="AH460" s="923"/>
      <c r="AI460" s="938">
        <v>4349.75</v>
      </c>
      <c r="AJ460" s="922"/>
      <c r="AK460" s="923"/>
      <c r="AL460" s="938">
        <v>4349.75</v>
      </c>
      <c r="AM460" s="922"/>
      <c r="AN460" s="923"/>
      <c r="AO460" s="938">
        <v>4349.75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25">
      <c r="A461" s="539" t="str">
        <f t="shared" si="8"/>
        <v>Chauffage, éclairage</v>
      </c>
      <c r="B461" s="639" t="s">
        <v>233</v>
      </c>
      <c r="C461" s="920"/>
      <c r="D461" s="921"/>
      <c r="E461" s="927">
        <v>57840.359999999971</v>
      </c>
      <c r="F461" s="920"/>
      <c r="G461" s="921"/>
      <c r="H461" s="927">
        <v>4901.99</v>
      </c>
      <c r="I461" s="920"/>
      <c r="J461" s="921"/>
      <c r="K461" s="927">
        <v>5526.4299999999903</v>
      </c>
      <c r="L461" s="920"/>
      <c r="M461" s="921"/>
      <c r="N461" s="927">
        <v>6365.49999999999</v>
      </c>
      <c r="O461" s="920"/>
      <c r="P461" s="921"/>
      <c r="Q461" s="927">
        <v>5652.17</v>
      </c>
      <c r="R461" s="920"/>
      <c r="S461" s="921"/>
      <c r="T461" s="927">
        <v>4788.7</v>
      </c>
      <c r="U461" s="920"/>
      <c r="V461" s="921"/>
      <c r="W461" s="927">
        <v>4297.29</v>
      </c>
      <c r="X461" s="920"/>
      <c r="Y461" s="921"/>
      <c r="Z461" s="927">
        <v>4110.2</v>
      </c>
      <c r="AA461" s="920"/>
      <c r="AB461" s="921"/>
      <c r="AC461" s="927">
        <v>4381.46</v>
      </c>
      <c r="AD461" s="920"/>
      <c r="AE461" s="921"/>
      <c r="AF461" s="927">
        <v>4473.08</v>
      </c>
      <c r="AG461" s="920"/>
      <c r="AH461" s="921"/>
      <c r="AI461" s="927">
        <v>4054.53999999999</v>
      </c>
      <c r="AJ461" s="920"/>
      <c r="AK461" s="921"/>
      <c r="AL461" s="927">
        <v>4522.5</v>
      </c>
      <c r="AM461" s="920"/>
      <c r="AN461" s="921"/>
      <c r="AO461" s="927">
        <v>4766.5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25">
      <c r="A462" s="539" t="str">
        <f t="shared" si="8"/>
        <v>Honoraires</v>
      </c>
      <c r="B462" s="639" t="s">
        <v>235</v>
      </c>
      <c r="C462" s="920"/>
      <c r="D462" s="921"/>
      <c r="E462" s="927">
        <v>75687.960000000006</v>
      </c>
      <c r="F462" s="920"/>
      <c r="G462" s="921"/>
      <c r="H462" s="927">
        <v>6307.33</v>
      </c>
      <c r="I462" s="920"/>
      <c r="J462" s="921"/>
      <c r="K462" s="927">
        <v>6307.33</v>
      </c>
      <c r="L462" s="920"/>
      <c r="M462" s="921"/>
      <c r="N462" s="927">
        <v>6307.33</v>
      </c>
      <c r="O462" s="920"/>
      <c r="P462" s="921"/>
      <c r="Q462" s="927">
        <v>6307.33</v>
      </c>
      <c r="R462" s="920"/>
      <c r="S462" s="921"/>
      <c r="T462" s="927">
        <v>6307.33</v>
      </c>
      <c r="U462" s="920"/>
      <c r="V462" s="921"/>
      <c r="W462" s="927">
        <v>6307.33</v>
      </c>
      <c r="X462" s="920"/>
      <c r="Y462" s="921"/>
      <c r="Z462" s="927">
        <v>6307.33</v>
      </c>
      <c r="AA462" s="920"/>
      <c r="AB462" s="921"/>
      <c r="AC462" s="927">
        <v>6307.33</v>
      </c>
      <c r="AD462" s="920"/>
      <c r="AE462" s="921"/>
      <c r="AF462" s="927">
        <v>6307.33</v>
      </c>
      <c r="AG462" s="920"/>
      <c r="AH462" s="921"/>
      <c r="AI462" s="927">
        <v>6307.33</v>
      </c>
      <c r="AJ462" s="920"/>
      <c r="AK462" s="921"/>
      <c r="AL462" s="927">
        <v>6307.33</v>
      </c>
      <c r="AM462" s="920"/>
      <c r="AN462" s="921"/>
      <c r="AO462" s="927">
        <v>6307.33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25">
      <c r="A463" s="539" t="str">
        <f t="shared" si="8"/>
        <v>Réparation équipement</v>
      </c>
      <c r="B463" s="636" t="s">
        <v>237</v>
      </c>
      <c r="C463" s="922"/>
      <c r="D463" s="923"/>
      <c r="E463" s="938">
        <v>4079.18</v>
      </c>
      <c r="F463" s="922"/>
      <c r="G463" s="923"/>
      <c r="H463" s="938">
        <v>500</v>
      </c>
      <c r="I463" s="922"/>
      <c r="J463" s="923"/>
      <c r="K463" s="938">
        <v>500</v>
      </c>
      <c r="L463" s="922"/>
      <c r="M463" s="923"/>
      <c r="N463" s="938">
        <v>500</v>
      </c>
      <c r="O463" s="922"/>
      <c r="P463" s="923"/>
      <c r="Q463" s="938">
        <v>717.06</v>
      </c>
      <c r="R463" s="922"/>
      <c r="S463" s="923"/>
      <c r="T463" s="938">
        <v>250</v>
      </c>
      <c r="U463" s="922"/>
      <c r="V463" s="923"/>
      <c r="W463" s="938">
        <v>250</v>
      </c>
      <c r="X463" s="922"/>
      <c r="Y463" s="923"/>
      <c r="Z463" s="938">
        <v>0</v>
      </c>
      <c r="AA463" s="922"/>
      <c r="AB463" s="923"/>
      <c r="AC463" s="938">
        <v>468.55</v>
      </c>
      <c r="AD463" s="922"/>
      <c r="AE463" s="923"/>
      <c r="AF463" s="938">
        <v>400</v>
      </c>
      <c r="AG463" s="922"/>
      <c r="AH463" s="923"/>
      <c r="AI463" s="938">
        <v>0</v>
      </c>
      <c r="AJ463" s="922"/>
      <c r="AK463" s="923"/>
      <c r="AL463" s="938">
        <v>371.68</v>
      </c>
      <c r="AM463" s="922"/>
      <c r="AN463" s="923"/>
      <c r="AO463" s="938">
        <v>121.89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25">
      <c r="A464" s="539" t="str">
        <f t="shared" si="8"/>
        <v>Location équipement</v>
      </c>
      <c r="B464" s="639" t="s">
        <v>239</v>
      </c>
      <c r="C464" s="920"/>
      <c r="D464" s="921"/>
      <c r="E464" s="927">
        <v>2887.7799999999943</v>
      </c>
      <c r="F464" s="920"/>
      <c r="G464" s="921"/>
      <c r="H464" s="927">
        <v>173.95999999999901</v>
      </c>
      <c r="I464" s="920"/>
      <c r="J464" s="921"/>
      <c r="K464" s="927">
        <v>173.95999999999901</v>
      </c>
      <c r="L464" s="920"/>
      <c r="M464" s="921"/>
      <c r="N464" s="927">
        <v>173.95999999999901</v>
      </c>
      <c r="O464" s="920"/>
      <c r="P464" s="921"/>
      <c r="Q464" s="927">
        <v>173.95999999999901</v>
      </c>
      <c r="R464" s="920"/>
      <c r="S464" s="921"/>
      <c r="T464" s="927">
        <v>173.95999999999901</v>
      </c>
      <c r="U464" s="920"/>
      <c r="V464" s="921"/>
      <c r="W464" s="927">
        <v>173.96</v>
      </c>
      <c r="X464" s="920"/>
      <c r="Y464" s="921"/>
      <c r="Z464" s="927">
        <v>173.96</v>
      </c>
      <c r="AA464" s="920"/>
      <c r="AB464" s="921"/>
      <c r="AC464" s="927">
        <v>173.96</v>
      </c>
      <c r="AD464" s="920"/>
      <c r="AE464" s="921"/>
      <c r="AF464" s="927">
        <v>173.96</v>
      </c>
      <c r="AG464" s="920"/>
      <c r="AH464" s="921"/>
      <c r="AI464" s="927">
        <v>529.32000000000005</v>
      </c>
      <c r="AJ464" s="920"/>
      <c r="AK464" s="921"/>
      <c r="AL464" s="927">
        <v>618.86</v>
      </c>
      <c r="AM464" s="920"/>
      <c r="AN464" s="921"/>
      <c r="AO464" s="927">
        <v>173.95999999999901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25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/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25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25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25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25">
      <c r="A469" s="539" t="str">
        <f t="shared" si="8"/>
        <v>TOTAL DÉPENSES FIXES</v>
      </c>
      <c r="B469" s="641" t="s">
        <v>243</v>
      </c>
      <c r="C469" s="924">
        <v>0.19686871377372425</v>
      </c>
      <c r="D469" s="925"/>
      <c r="E469" s="926">
        <v>891785.55999999994</v>
      </c>
      <c r="F469" s="924"/>
      <c r="G469" s="925"/>
      <c r="H469" s="926">
        <v>74621.799999999988</v>
      </c>
      <c r="I469" s="924"/>
      <c r="J469" s="925"/>
      <c r="K469" s="926">
        <v>75246.239999999976</v>
      </c>
      <c r="L469" s="924"/>
      <c r="M469" s="925"/>
      <c r="N469" s="926">
        <v>76085.309999999983</v>
      </c>
      <c r="O469" s="924"/>
      <c r="P469" s="925"/>
      <c r="Q469" s="926">
        <v>75589.039999999994</v>
      </c>
      <c r="R469" s="924"/>
      <c r="S469" s="925"/>
      <c r="T469" s="926">
        <v>74258.509999999995</v>
      </c>
      <c r="U469" s="924"/>
      <c r="V469" s="925"/>
      <c r="W469" s="926">
        <v>73767.100000000006</v>
      </c>
      <c r="X469" s="924"/>
      <c r="Y469" s="925"/>
      <c r="Z469" s="926">
        <v>74162.559999999998</v>
      </c>
      <c r="AA469" s="924"/>
      <c r="AB469" s="925"/>
      <c r="AC469" s="926">
        <v>73588.920000000013</v>
      </c>
      <c r="AD469" s="924"/>
      <c r="AE469" s="925"/>
      <c r="AF469" s="926">
        <v>73611.990000000005</v>
      </c>
      <c r="AG469" s="924"/>
      <c r="AH469" s="925"/>
      <c r="AI469" s="926">
        <v>73148.809999999983</v>
      </c>
      <c r="AJ469" s="924"/>
      <c r="AK469" s="925"/>
      <c r="AL469" s="926">
        <v>74077.989999999991</v>
      </c>
      <c r="AM469" s="924"/>
      <c r="AN469" s="925"/>
      <c r="AO469" s="926">
        <v>73627.289999999994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25">
      <c r="A470" s="539">
        <f t="shared" si="8"/>
        <v>0</v>
      </c>
      <c r="B470" s="639"/>
      <c r="C470" s="939"/>
      <c r="D470" s="940"/>
      <c r="E470" s="941">
        <v>212300.79999999978</v>
      </c>
      <c r="F470" s="939"/>
      <c r="G470" s="940"/>
      <c r="H470" s="941"/>
      <c r="I470" s="939"/>
      <c r="J470" s="940"/>
      <c r="K470" s="941"/>
      <c r="L470" s="939"/>
      <c r="M470" s="940"/>
      <c r="N470" s="941"/>
      <c r="O470" s="939"/>
      <c r="P470" s="940"/>
      <c r="Q470" s="941"/>
      <c r="R470" s="939"/>
      <c r="S470" s="940"/>
      <c r="T470" s="941"/>
      <c r="U470" s="939"/>
      <c r="V470" s="940"/>
      <c r="W470" s="941"/>
      <c r="X470" s="939"/>
      <c r="Y470" s="940"/>
      <c r="Z470" s="941"/>
      <c r="AA470" s="939"/>
      <c r="AB470" s="940"/>
      <c r="AC470" s="941"/>
      <c r="AD470" s="939"/>
      <c r="AE470" s="940"/>
      <c r="AF470" s="941"/>
      <c r="AG470" s="939"/>
      <c r="AH470" s="940"/>
      <c r="AI470" s="941"/>
      <c r="AJ470" s="939"/>
      <c r="AK470" s="940"/>
      <c r="AL470" s="941"/>
      <c r="AM470" s="939"/>
      <c r="AN470" s="940"/>
      <c r="AO470" s="941"/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25">
      <c r="A471" s="539" t="str">
        <f t="shared" si="8"/>
        <v>TOTAL DES DÉPENSES</v>
      </c>
      <c r="B471" s="641" t="s">
        <v>133</v>
      </c>
      <c r="C471" s="924">
        <v>1.1593323726346589</v>
      </c>
      <c r="D471" s="925"/>
      <c r="E471" s="926">
        <v>5251600.6699999971</v>
      </c>
      <c r="F471" s="924"/>
      <c r="G471" s="925"/>
      <c r="H471" s="926">
        <v>381841.26999999897</v>
      </c>
      <c r="I471" s="924"/>
      <c r="J471" s="925"/>
      <c r="K471" s="926">
        <v>393429.88</v>
      </c>
      <c r="L471" s="924"/>
      <c r="M471" s="925"/>
      <c r="N471" s="926">
        <v>419420.68</v>
      </c>
      <c r="O471" s="924"/>
      <c r="P471" s="925"/>
      <c r="Q471" s="926">
        <v>468281.03999999899</v>
      </c>
      <c r="R471" s="924"/>
      <c r="S471" s="925"/>
      <c r="T471" s="926">
        <v>529959.82999999996</v>
      </c>
      <c r="U471" s="924"/>
      <c r="V471" s="925"/>
      <c r="W471" s="926">
        <v>407581.51</v>
      </c>
      <c r="X471" s="924"/>
      <c r="Y471" s="925"/>
      <c r="Z471" s="926">
        <v>408432.83</v>
      </c>
      <c r="AA471" s="924"/>
      <c r="AB471" s="925"/>
      <c r="AC471" s="926">
        <v>381045.69</v>
      </c>
      <c r="AD471" s="924"/>
      <c r="AE471" s="925"/>
      <c r="AF471" s="926">
        <v>431685.49999999901</v>
      </c>
      <c r="AG471" s="924"/>
      <c r="AH471" s="925"/>
      <c r="AI471" s="926">
        <v>459926.99</v>
      </c>
      <c r="AJ471" s="924"/>
      <c r="AK471" s="925"/>
      <c r="AL471" s="926">
        <v>490511.27</v>
      </c>
      <c r="AM471" s="924"/>
      <c r="AN471" s="925"/>
      <c r="AO471" s="926">
        <v>479484.18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177799.07999999996</v>
      </c>
      <c r="F472" s="942"/>
      <c r="G472" s="943"/>
      <c r="H472" s="944">
        <v>1025.98</v>
      </c>
      <c r="I472" s="942"/>
      <c r="J472" s="943"/>
      <c r="K472" s="944">
        <v>7193.01</v>
      </c>
      <c r="L472" s="942"/>
      <c r="M472" s="943"/>
      <c r="N472" s="944">
        <v>149189.07999999999</v>
      </c>
      <c r="O472" s="942"/>
      <c r="P472" s="943"/>
      <c r="Q472" s="944">
        <v>1898.24</v>
      </c>
      <c r="R472" s="942"/>
      <c r="S472" s="943"/>
      <c r="T472" s="944">
        <v>2924.08</v>
      </c>
      <c r="U472" s="942"/>
      <c r="V472" s="943"/>
      <c r="W472" s="944">
        <v>882.81</v>
      </c>
      <c r="X472" s="942"/>
      <c r="Y472" s="943"/>
      <c r="Z472" s="944">
        <v>2.7</v>
      </c>
      <c r="AA472" s="942"/>
      <c r="AB472" s="943"/>
      <c r="AC472" s="944">
        <v>10884.85</v>
      </c>
      <c r="AD472" s="942"/>
      <c r="AE472" s="943"/>
      <c r="AF472" s="944">
        <v>175.28</v>
      </c>
      <c r="AG472" s="942"/>
      <c r="AH472" s="943"/>
      <c r="AI472" s="944">
        <v>533.38</v>
      </c>
      <c r="AJ472" s="942"/>
      <c r="AK472" s="943"/>
      <c r="AL472" s="944">
        <v>2213.87</v>
      </c>
      <c r="AM472" s="942"/>
      <c r="AN472" s="943"/>
      <c r="AO472" s="944">
        <v>875.8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480905.59999999992</v>
      </c>
      <c r="F473" s="945"/>
      <c r="G473" s="946"/>
      <c r="H473" s="919">
        <v>17420.099999999999</v>
      </c>
      <c r="I473" s="945"/>
      <c r="J473" s="946"/>
      <c r="K473" s="919">
        <v>16676.2</v>
      </c>
      <c r="L473" s="945"/>
      <c r="M473" s="946"/>
      <c r="N473" s="919">
        <v>40227.1</v>
      </c>
      <c r="O473" s="945"/>
      <c r="P473" s="946"/>
      <c r="Q473" s="919">
        <v>47079</v>
      </c>
      <c r="R473" s="945"/>
      <c r="S473" s="946"/>
      <c r="T473" s="919">
        <v>57980.4</v>
      </c>
      <c r="U473" s="945"/>
      <c r="V473" s="946"/>
      <c r="W473" s="919">
        <v>37435.699999999997</v>
      </c>
      <c r="X473" s="945"/>
      <c r="Y473" s="946"/>
      <c r="Z473" s="919">
        <v>22240.799999999999</v>
      </c>
      <c r="AA473" s="945"/>
      <c r="AB473" s="946"/>
      <c r="AC473" s="919">
        <v>31297.599999999999</v>
      </c>
      <c r="AD473" s="945"/>
      <c r="AE473" s="946"/>
      <c r="AF473" s="919">
        <v>54160.1</v>
      </c>
      <c r="AG473" s="945"/>
      <c r="AH473" s="946"/>
      <c r="AI473" s="919">
        <v>35867.599999999999</v>
      </c>
      <c r="AJ473" s="945"/>
      <c r="AK473" s="946"/>
      <c r="AL473" s="919">
        <v>76456</v>
      </c>
      <c r="AM473" s="945"/>
      <c r="AN473" s="946"/>
      <c r="AO473" s="919">
        <v>44065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413289.73000000004</v>
      </c>
      <c r="F474" s="945"/>
      <c r="G474" s="946"/>
      <c r="H474" s="919">
        <v>18905</v>
      </c>
      <c r="I474" s="945"/>
      <c r="J474" s="946"/>
      <c r="K474" s="919">
        <v>2278.0700000000002</v>
      </c>
      <c r="L474" s="945"/>
      <c r="M474" s="946"/>
      <c r="N474" s="919">
        <v>33136.94</v>
      </c>
      <c r="O474" s="945"/>
      <c r="P474" s="946"/>
      <c r="Q474" s="919">
        <v>56342.42</v>
      </c>
      <c r="R474" s="945"/>
      <c r="S474" s="946"/>
      <c r="T474" s="919">
        <v>57768.59</v>
      </c>
      <c r="U474" s="945"/>
      <c r="V474" s="946"/>
      <c r="W474" s="919">
        <v>27489.53</v>
      </c>
      <c r="X474" s="945"/>
      <c r="Y474" s="946"/>
      <c r="Z474" s="919">
        <v>12290.01</v>
      </c>
      <c r="AA474" s="945"/>
      <c r="AB474" s="946"/>
      <c r="AC474" s="919">
        <v>19618.689999999999</v>
      </c>
      <c r="AD474" s="945"/>
      <c r="AE474" s="946"/>
      <c r="AF474" s="919">
        <v>54073.89</v>
      </c>
      <c r="AG474" s="945"/>
      <c r="AH474" s="946"/>
      <c r="AI474" s="919">
        <v>46412.76</v>
      </c>
      <c r="AJ474" s="945"/>
      <c r="AK474" s="946"/>
      <c r="AL474" s="919">
        <v>53053.83</v>
      </c>
      <c r="AM474" s="945"/>
      <c r="AN474" s="946"/>
      <c r="AO474" s="919">
        <v>31920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16050</v>
      </c>
      <c r="F477" s="945"/>
      <c r="G477" s="946"/>
      <c r="H477" s="919">
        <v>1800</v>
      </c>
      <c r="I477" s="945"/>
      <c r="J477" s="946"/>
      <c r="K477" s="919">
        <v>3000</v>
      </c>
      <c r="L477" s="945"/>
      <c r="M477" s="946"/>
      <c r="N477" s="919">
        <v>0</v>
      </c>
      <c r="O477" s="945"/>
      <c r="P477" s="946"/>
      <c r="Q477" s="919">
        <v>2625</v>
      </c>
      <c r="R477" s="945"/>
      <c r="S477" s="946"/>
      <c r="T477" s="919">
        <v>2250</v>
      </c>
      <c r="U477" s="945"/>
      <c r="V477" s="946"/>
      <c r="W477" s="919">
        <v>3375</v>
      </c>
      <c r="X477" s="945"/>
      <c r="Y477" s="946"/>
      <c r="Z477" s="919">
        <v>0</v>
      </c>
      <c r="AA477" s="945"/>
      <c r="AB477" s="946"/>
      <c r="AC477" s="919">
        <v>0</v>
      </c>
      <c r="AD477" s="945"/>
      <c r="AE477" s="946"/>
      <c r="AF477" s="919">
        <v>0</v>
      </c>
      <c r="AG477" s="945"/>
      <c r="AH477" s="946"/>
      <c r="AI477" s="919">
        <v>3000</v>
      </c>
      <c r="AJ477" s="945"/>
      <c r="AK477" s="946"/>
      <c r="AL477" s="919">
        <v>0</v>
      </c>
      <c r="AM477" s="945"/>
      <c r="AN477" s="946"/>
      <c r="AO477" s="919">
        <v>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24625</v>
      </c>
      <c r="F478" s="945"/>
      <c r="G478" s="946"/>
      <c r="H478" s="919">
        <v>0</v>
      </c>
      <c r="I478" s="945"/>
      <c r="J478" s="946"/>
      <c r="K478" s="919">
        <v>16075</v>
      </c>
      <c r="L478" s="945"/>
      <c r="M478" s="946"/>
      <c r="N478" s="919">
        <v>10000</v>
      </c>
      <c r="O478" s="945"/>
      <c r="P478" s="946"/>
      <c r="Q478" s="919">
        <v>0</v>
      </c>
      <c r="R478" s="945"/>
      <c r="S478" s="946"/>
      <c r="T478" s="919">
        <v>0</v>
      </c>
      <c r="U478" s="945"/>
      <c r="V478" s="946"/>
      <c r="W478" s="919">
        <v>0</v>
      </c>
      <c r="X478" s="945"/>
      <c r="Y478" s="946"/>
      <c r="Z478" s="919">
        <v>0</v>
      </c>
      <c r="AA478" s="945"/>
      <c r="AB478" s="946"/>
      <c r="AC478" s="919">
        <v>0</v>
      </c>
      <c r="AD478" s="945"/>
      <c r="AE478" s="946"/>
      <c r="AF478" s="919">
        <v>0</v>
      </c>
      <c r="AG478" s="945"/>
      <c r="AH478" s="946"/>
      <c r="AI478" s="919">
        <v>0</v>
      </c>
      <c r="AJ478" s="945"/>
      <c r="AK478" s="946"/>
      <c r="AL478" s="919">
        <v>0</v>
      </c>
      <c r="AM478" s="945"/>
      <c r="AN478" s="946"/>
      <c r="AO478" s="919">
        <v>-1450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226407.91</v>
      </c>
      <c r="F480" s="945"/>
      <c r="G480" s="946"/>
      <c r="H480" s="919">
        <v>7748.33</v>
      </c>
      <c r="I480" s="945"/>
      <c r="J480" s="946"/>
      <c r="K480" s="919">
        <v>9567.86</v>
      </c>
      <c r="L480" s="945"/>
      <c r="M480" s="946"/>
      <c r="N480" s="919">
        <v>17829.84</v>
      </c>
      <c r="O480" s="945"/>
      <c r="P480" s="946"/>
      <c r="Q480" s="919">
        <v>25721.54</v>
      </c>
      <c r="R480" s="945"/>
      <c r="S480" s="946"/>
      <c r="T480" s="919">
        <v>29302.880000000001</v>
      </c>
      <c r="U480" s="945"/>
      <c r="V480" s="946"/>
      <c r="W480" s="919">
        <v>14882.07</v>
      </c>
      <c r="X480" s="945"/>
      <c r="Y480" s="946"/>
      <c r="Z480" s="919">
        <v>12904.4</v>
      </c>
      <c r="AA480" s="945"/>
      <c r="AB480" s="946"/>
      <c r="AC480" s="919">
        <v>12484.82</v>
      </c>
      <c r="AD480" s="945"/>
      <c r="AE480" s="946"/>
      <c r="AF480" s="919">
        <v>27945.7</v>
      </c>
      <c r="AG480" s="945"/>
      <c r="AH480" s="946"/>
      <c r="AI480" s="919">
        <v>21659.19</v>
      </c>
      <c r="AJ480" s="945"/>
      <c r="AK480" s="946"/>
      <c r="AL480" s="919">
        <v>33761.279999999999</v>
      </c>
      <c r="AM480" s="945"/>
      <c r="AN480" s="946"/>
      <c r="AO480" s="919">
        <v>12600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256445</v>
      </c>
      <c r="F483" s="947"/>
      <c r="G483" s="946"/>
      <c r="H483" s="919">
        <v>10115</v>
      </c>
      <c r="I483" s="947"/>
      <c r="J483" s="946"/>
      <c r="K483" s="919">
        <v>10710</v>
      </c>
      <c r="L483" s="947"/>
      <c r="M483" s="946"/>
      <c r="N483" s="919">
        <v>19635</v>
      </c>
      <c r="O483" s="947"/>
      <c r="P483" s="946"/>
      <c r="Q483" s="919">
        <v>30940</v>
      </c>
      <c r="R483" s="947"/>
      <c r="S483" s="946"/>
      <c r="T483" s="919">
        <v>34510</v>
      </c>
      <c r="U483" s="947"/>
      <c r="V483" s="946"/>
      <c r="W483" s="919">
        <v>20230</v>
      </c>
      <c r="X483" s="947"/>
      <c r="Y483" s="946"/>
      <c r="Z483" s="919">
        <v>18445</v>
      </c>
      <c r="AA483" s="947"/>
      <c r="AB483" s="946"/>
      <c r="AC483" s="919">
        <v>19635</v>
      </c>
      <c r="AD483" s="947"/>
      <c r="AE483" s="946"/>
      <c r="AF483" s="919">
        <v>24990</v>
      </c>
      <c r="AG483" s="947"/>
      <c r="AH483" s="946"/>
      <c r="AI483" s="919">
        <v>20825</v>
      </c>
      <c r="AJ483" s="947"/>
      <c r="AK483" s="946"/>
      <c r="AL483" s="919">
        <v>24990</v>
      </c>
      <c r="AM483" s="947"/>
      <c r="AN483" s="946"/>
      <c r="AO483" s="919">
        <v>21420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25">
      <c r="A484" s="539" t="str">
        <f t="shared" si="9"/>
        <v>TOTAL AUTRES REVENUS</v>
      </c>
      <c r="B484" s="641" t="s">
        <v>245</v>
      </c>
      <c r="C484" s="924">
        <v>0.35222416803392564</v>
      </c>
      <c r="D484" s="948"/>
      <c r="E484" s="926">
        <v>1595522.3199999998</v>
      </c>
      <c r="F484" s="924"/>
      <c r="G484" s="948"/>
      <c r="H484" s="926">
        <v>57014.41</v>
      </c>
      <c r="I484" s="924"/>
      <c r="J484" s="948"/>
      <c r="K484" s="926">
        <v>65500.14</v>
      </c>
      <c r="L484" s="924"/>
      <c r="M484" s="948"/>
      <c r="N484" s="926">
        <v>270017.95999999996</v>
      </c>
      <c r="O484" s="924"/>
      <c r="P484" s="948"/>
      <c r="Q484" s="926">
        <v>164606.20000000001</v>
      </c>
      <c r="R484" s="924"/>
      <c r="S484" s="948"/>
      <c r="T484" s="926">
        <v>184735.95</v>
      </c>
      <c r="U484" s="924"/>
      <c r="V484" s="948"/>
      <c r="W484" s="926">
        <v>104295.10999999999</v>
      </c>
      <c r="X484" s="924"/>
      <c r="Y484" s="948"/>
      <c r="Z484" s="926">
        <v>65882.91</v>
      </c>
      <c r="AA484" s="924"/>
      <c r="AB484" s="948"/>
      <c r="AC484" s="926">
        <v>93920.959999999992</v>
      </c>
      <c r="AD484" s="924"/>
      <c r="AE484" s="948"/>
      <c r="AF484" s="926">
        <v>161344.97</v>
      </c>
      <c r="AG484" s="924"/>
      <c r="AH484" s="948"/>
      <c r="AI484" s="926">
        <v>128297.93</v>
      </c>
      <c r="AJ484" s="924"/>
      <c r="AK484" s="948"/>
      <c r="AL484" s="926">
        <v>190474.98</v>
      </c>
      <c r="AM484" s="924"/>
      <c r="AN484" s="948"/>
      <c r="AO484" s="926">
        <v>109430.8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216097.59999999992</v>
      </c>
      <c r="F485" s="949"/>
      <c r="G485" s="950"/>
      <c r="H485" s="951"/>
      <c r="I485" s="949"/>
      <c r="J485" s="950"/>
      <c r="K485" s="951"/>
      <c r="L485" s="949"/>
      <c r="M485" s="950"/>
      <c r="N485" s="951"/>
      <c r="O485" s="949"/>
      <c r="P485" s="950"/>
      <c r="Q485" s="951"/>
      <c r="R485" s="949"/>
      <c r="S485" s="950"/>
      <c r="T485" s="951"/>
      <c r="U485" s="949"/>
      <c r="V485" s="950"/>
      <c r="W485" s="951"/>
      <c r="X485" s="949"/>
      <c r="Y485" s="950"/>
      <c r="Z485" s="951"/>
      <c r="AA485" s="949"/>
      <c r="AB485" s="950"/>
      <c r="AC485" s="951"/>
      <c r="AD485" s="949"/>
      <c r="AE485" s="950"/>
      <c r="AF485" s="951"/>
      <c r="AG485" s="949"/>
      <c r="AH485" s="950"/>
      <c r="AI485" s="951"/>
      <c r="AJ485" s="949"/>
      <c r="AK485" s="950"/>
      <c r="AL485" s="951"/>
      <c r="AM485" s="949"/>
      <c r="AN485" s="950"/>
      <c r="AO485" s="951"/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75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1.8737006799706614E-2</v>
      </c>
      <c r="E486" s="954">
        <v>873770.71999999741</v>
      </c>
      <c r="F486" s="952" t="s">
        <v>247</v>
      </c>
      <c r="G486" s="953">
        <v>-3.8922239264095417E-2</v>
      </c>
      <c r="H486" s="954">
        <v>-90563.179999999353</v>
      </c>
      <c r="I486" s="952" t="s">
        <v>247</v>
      </c>
      <c r="J486" s="953">
        <v>-5.4416630274005041E-2</v>
      </c>
      <c r="K486" s="954">
        <v>-104506.48000000032</v>
      </c>
      <c r="L486" s="952" t="s">
        <v>247</v>
      </c>
      <c r="M486" s="953">
        <v>5.4323492889149255E-2</v>
      </c>
      <c r="N486" s="954">
        <v>182407.34999999957</v>
      </c>
      <c r="O486" s="952" t="s">
        <v>247</v>
      </c>
      <c r="P486" s="953">
        <v>3.2625828724044917E-2</v>
      </c>
      <c r="Q486" s="954">
        <v>167576.77000000066</v>
      </c>
      <c r="R486" s="952" t="s">
        <v>247</v>
      </c>
      <c r="S486" s="953">
        <v>4.0884611410403608E-2</v>
      </c>
      <c r="T486" s="954">
        <v>224884.23999999982</v>
      </c>
      <c r="U486" s="952" t="s">
        <v>247</v>
      </c>
      <c r="V486" s="953">
        <v>7.0948987752552468E-3</v>
      </c>
      <c r="W486" s="954">
        <v>25400.039999999513</v>
      </c>
      <c r="X486" s="952" t="s">
        <v>247</v>
      </c>
      <c r="Y486" s="953">
        <v>3.4797704224136163E-3</v>
      </c>
      <c r="Z486" s="954">
        <v>11377.819999999279</v>
      </c>
      <c r="AA486" s="952" t="s">
        <v>247</v>
      </c>
      <c r="AB486" s="953">
        <v>-2.4412061280567818E-3</v>
      </c>
      <c r="AC486" s="954">
        <v>-7104.3700000003737</v>
      </c>
      <c r="AD486" s="952" t="s">
        <v>247</v>
      </c>
      <c r="AE486" s="953">
        <v>2.3707295784052979E-2</v>
      </c>
      <c r="AF486" s="954">
        <v>128942.57000000021</v>
      </c>
      <c r="AG486" s="952" t="s">
        <v>247</v>
      </c>
      <c r="AH486" s="953">
        <v>3.1772472719330432E-2</v>
      </c>
      <c r="AI486" s="954">
        <v>127828.12999999983</v>
      </c>
      <c r="AJ486" s="952" t="s">
        <v>247</v>
      </c>
      <c r="AK486" s="953">
        <v>3.9806846875306258E-2</v>
      </c>
      <c r="AL486" s="954">
        <v>195487.83999999941</v>
      </c>
      <c r="AM486" s="952" t="s">
        <v>247</v>
      </c>
      <c r="AN486" s="953">
        <v>2.8272462994784085E-3</v>
      </c>
      <c r="AO486" s="954">
        <v>12039.989999999714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25">
      <c r="A488" s="539"/>
      <c r="B488" s="618" t="s">
        <v>2812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25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25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2879</v>
      </c>
      <c r="C492" s="956" t="s">
        <v>247</v>
      </c>
      <c r="D492" s="957">
        <v>2.8358007010502659E-2</v>
      </c>
      <c r="E492" s="958">
        <v>1322430.8699999973</v>
      </c>
      <c r="F492" s="956" t="s">
        <v>247</v>
      </c>
      <c r="G492" s="957">
        <v>-2.3665278708066055E-2</v>
      </c>
      <c r="H492" s="958">
        <v>-55063.709999999352</v>
      </c>
      <c r="I492" s="956" t="s">
        <v>247</v>
      </c>
      <c r="J492" s="957">
        <v>-3.4754246564115479E-2</v>
      </c>
      <c r="K492" s="958">
        <v>-66745.110000000321</v>
      </c>
      <c r="L492" s="956" t="s">
        <v>247</v>
      </c>
      <c r="M492" s="957">
        <v>6.8081479918883706E-2</v>
      </c>
      <c r="N492" s="958">
        <v>228603.89999999956</v>
      </c>
      <c r="O492" s="956" t="s">
        <v>247</v>
      </c>
      <c r="P492" s="957">
        <v>4.1314144571050058E-2</v>
      </c>
      <c r="Q492" s="958">
        <v>212202.76000000065</v>
      </c>
      <c r="R492" s="956" t="s">
        <v>247</v>
      </c>
      <c r="S492" s="957">
        <v>4.8951428753875662E-2</v>
      </c>
      <c r="T492" s="958">
        <v>269255.45999999985</v>
      </c>
      <c r="U492" s="956" t="s">
        <v>247</v>
      </c>
      <c r="V492" s="957">
        <v>1.8404303242624438E-2</v>
      </c>
      <c r="W492" s="958">
        <v>65888.189999999508</v>
      </c>
      <c r="X492" s="956" t="s">
        <v>247</v>
      </c>
      <c r="Y492" s="957">
        <v>1.582591778233031E-2</v>
      </c>
      <c r="Z492" s="958">
        <v>51746.069999999279</v>
      </c>
      <c r="AA492" s="956" t="s">
        <v>247</v>
      </c>
      <c r="AB492" s="957">
        <v>1.1456505308848421E-2</v>
      </c>
      <c r="AC492" s="958">
        <v>33340.589999999625</v>
      </c>
      <c r="AD492" s="956" t="s">
        <v>247</v>
      </c>
      <c r="AE492" s="957">
        <v>2.8423434935751172E-2</v>
      </c>
      <c r="AF492" s="958">
        <v>154593.3700000002</v>
      </c>
      <c r="AG492" s="956" t="s">
        <v>247</v>
      </c>
      <c r="AH492" s="957">
        <v>3.757444773586429E-2</v>
      </c>
      <c r="AI492" s="958">
        <v>151170.83999999982</v>
      </c>
      <c r="AJ492" s="956" t="s">
        <v>247</v>
      </c>
      <c r="AK492" s="957">
        <v>4.7633105240777317E-2</v>
      </c>
      <c r="AL492" s="958">
        <v>233921.8899999994</v>
      </c>
      <c r="AM492" s="956" t="s">
        <v>247</v>
      </c>
      <c r="AN492" s="957">
        <v>1.0218629987301503E-2</v>
      </c>
      <c r="AO492" s="958">
        <v>43516.619999999719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25">
      <c r="A493" s="539"/>
      <c r="B493" s="647" t="s">
        <v>246</v>
      </c>
      <c r="C493" s="959" t="s">
        <v>247</v>
      </c>
      <c r="D493" s="960">
        <v>1.8737006799706614E-2</v>
      </c>
      <c r="E493" s="961">
        <v>873770.71999999741</v>
      </c>
      <c r="F493" s="959" t="s">
        <v>247</v>
      </c>
      <c r="G493" s="960">
        <v>-3.8922239264095417E-2</v>
      </c>
      <c r="H493" s="961">
        <v>-90563.179999999353</v>
      </c>
      <c r="I493" s="959" t="s">
        <v>247</v>
      </c>
      <c r="J493" s="960">
        <v>-5.4416630274005041E-2</v>
      </c>
      <c r="K493" s="961">
        <v>-104506.48000000032</v>
      </c>
      <c r="L493" s="959" t="s">
        <v>247</v>
      </c>
      <c r="M493" s="960">
        <v>5.4323492889149255E-2</v>
      </c>
      <c r="N493" s="961">
        <v>182407.34999999957</v>
      </c>
      <c r="O493" s="959" t="s">
        <v>247</v>
      </c>
      <c r="P493" s="960">
        <v>3.2625828724044917E-2</v>
      </c>
      <c r="Q493" s="961">
        <v>167576.77000000066</v>
      </c>
      <c r="R493" s="959" t="s">
        <v>247</v>
      </c>
      <c r="S493" s="960">
        <v>4.0884611410403608E-2</v>
      </c>
      <c r="T493" s="961">
        <v>224884.23999999982</v>
      </c>
      <c r="U493" s="959" t="s">
        <v>247</v>
      </c>
      <c r="V493" s="960">
        <v>7.0948987752552468E-3</v>
      </c>
      <c r="W493" s="961">
        <v>25400.039999999513</v>
      </c>
      <c r="X493" s="959" t="s">
        <v>247</v>
      </c>
      <c r="Y493" s="960">
        <v>3.4797704224136163E-3</v>
      </c>
      <c r="Z493" s="961">
        <v>11377.819999999279</v>
      </c>
      <c r="AA493" s="959" t="s">
        <v>247</v>
      </c>
      <c r="AB493" s="960">
        <v>-2.4412061280567818E-3</v>
      </c>
      <c r="AC493" s="961">
        <v>-7104.3700000003737</v>
      </c>
      <c r="AD493" s="959" t="s">
        <v>247</v>
      </c>
      <c r="AE493" s="960">
        <v>2.3707295784052979E-2</v>
      </c>
      <c r="AF493" s="961">
        <v>128942.57000000021</v>
      </c>
      <c r="AG493" s="959" t="s">
        <v>247</v>
      </c>
      <c r="AH493" s="960">
        <v>3.1772472719330432E-2</v>
      </c>
      <c r="AI493" s="961">
        <v>127828.12999999983</v>
      </c>
      <c r="AJ493" s="959" t="s">
        <v>247</v>
      </c>
      <c r="AK493" s="960">
        <v>3.9806846875306258E-2</v>
      </c>
      <c r="AL493" s="961">
        <v>195487.83999999941</v>
      </c>
      <c r="AM493" s="959" t="s">
        <v>247</v>
      </c>
      <c r="AN493" s="960">
        <v>2.8272462994784085E-3</v>
      </c>
      <c r="AO493" s="961">
        <v>12039.989999999714</v>
      </c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25">
      <c r="A494" s="539">
        <f t="shared" ref="A494:A500" si="10">B494</f>
        <v>0</v>
      </c>
      <c r="B494" s="648"/>
      <c r="C494" s="920"/>
      <c r="D494" s="921"/>
      <c r="E494" s="927"/>
      <c r="F494" s="920"/>
      <c r="G494" s="921"/>
      <c r="H494" s="927"/>
      <c r="I494" s="920"/>
      <c r="J494" s="921"/>
      <c r="K494" s="927"/>
      <c r="L494" s="920"/>
      <c r="M494" s="921"/>
      <c r="N494" s="927"/>
      <c r="O494" s="920"/>
      <c r="P494" s="921"/>
      <c r="Q494" s="927"/>
      <c r="R494" s="920"/>
      <c r="S494" s="921"/>
      <c r="T494" s="927"/>
      <c r="U494" s="920"/>
      <c r="V494" s="921"/>
      <c r="W494" s="927"/>
      <c r="X494" s="920"/>
      <c r="Y494" s="921"/>
      <c r="Z494" s="927"/>
      <c r="AA494" s="920"/>
      <c r="AB494" s="921"/>
      <c r="AC494" s="927"/>
      <c r="AD494" s="920"/>
      <c r="AE494" s="921"/>
      <c r="AF494" s="927"/>
      <c r="AG494" s="920"/>
      <c r="AH494" s="921"/>
      <c r="AI494" s="927"/>
      <c r="AJ494" s="920"/>
      <c r="AK494" s="921"/>
      <c r="AL494" s="927"/>
      <c r="AM494" s="920"/>
      <c r="AN494" s="921"/>
      <c r="AO494" s="927"/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25">
      <c r="A495" s="539" t="str">
        <f t="shared" si="10"/>
        <v>Amortissement</v>
      </c>
      <c r="B495" s="648" t="s">
        <v>249</v>
      </c>
      <c r="C495" s="962"/>
      <c r="D495" s="793"/>
      <c r="E495" s="927">
        <v>234320.92</v>
      </c>
      <c r="F495" s="962"/>
      <c r="G495" s="793"/>
      <c r="H495" s="927">
        <v>20970</v>
      </c>
      <c r="I495" s="962"/>
      <c r="J495" s="793"/>
      <c r="K495" s="927">
        <v>20970</v>
      </c>
      <c r="L495" s="962"/>
      <c r="M495" s="793"/>
      <c r="N495" s="927">
        <v>20970</v>
      </c>
      <c r="O495" s="962"/>
      <c r="P495" s="793"/>
      <c r="Q495" s="927">
        <v>20970</v>
      </c>
      <c r="R495" s="962"/>
      <c r="S495" s="793"/>
      <c r="T495" s="927">
        <v>20970</v>
      </c>
      <c r="U495" s="962"/>
      <c r="V495" s="793"/>
      <c r="W495" s="927">
        <v>20970</v>
      </c>
      <c r="X495" s="962"/>
      <c r="Y495" s="793"/>
      <c r="Z495" s="927">
        <v>20970</v>
      </c>
      <c r="AA495" s="962"/>
      <c r="AB495" s="793"/>
      <c r="AC495" s="927">
        <v>20970</v>
      </c>
      <c r="AD495" s="962"/>
      <c r="AE495" s="793"/>
      <c r="AF495" s="927">
        <v>20970</v>
      </c>
      <c r="AG495" s="962"/>
      <c r="AH495" s="793"/>
      <c r="AI495" s="927">
        <v>20970</v>
      </c>
      <c r="AJ495" s="962"/>
      <c r="AK495" s="793"/>
      <c r="AL495" s="927">
        <v>20970</v>
      </c>
      <c r="AM495" s="962"/>
      <c r="AN495" s="793"/>
      <c r="AO495" s="927">
        <v>3650.92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25">
      <c r="A496" s="539" t="str">
        <f t="shared" si="10"/>
        <v>Intérêts sur marge</v>
      </c>
      <c r="B496" s="648" t="s">
        <v>250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0.25">
      <c r="A497" s="539" t="str">
        <f t="shared" si="10"/>
        <v>Intérêts sur prêt</v>
      </c>
      <c r="B497" s="648" t="s">
        <v>251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0.25">
      <c r="A498" s="539" t="str">
        <f t="shared" si="10"/>
        <v>Intérêts sur avance</v>
      </c>
      <c r="B498" s="649" t="s">
        <v>252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0.25">
      <c r="A499" s="539" t="str">
        <f t="shared" si="10"/>
        <v>[...]</v>
      </c>
      <c r="B499" s="649" t="s">
        <v>42</v>
      </c>
      <c r="C499" s="964"/>
      <c r="D499" s="844"/>
      <c r="E499" s="919">
        <v>0</v>
      </c>
      <c r="F499" s="964"/>
      <c r="G499" s="844"/>
      <c r="H499" s="919">
        <v>0</v>
      </c>
      <c r="I499" s="964"/>
      <c r="J499" s="844"/>
      <c r="K499" s="919">
        <v>0</v>
      </c>
      <c r="L499" s="964"/>
      <c r="M499" s="844"/>
      <c r="N499" s="919">
        <v>0</v>
      </c>
      <c r="O499" s="964"/>
      <c r="P499" s="844"/>
      <c r="Q499" s="919">
        <v>0</v>
      </c>
      <c r="R499" s="964"/>
      <c r="S499" s="844"/>
      <c r="T499" s="919">
        <v>0</v>
      </c>
      <c r="U499" s="964"/>
      <c r="V499" s="844"/>
      <c r="W499" s="919">
        <v>0</v>
      </c>
      <c r="X499" s="964"/>
      <c r="Y499" s="844"/>
      <c r="Z499" s="919">
        <v>0</v>
      </c>
      <c r="AA499" s="964"/>
      <c r="AB499" s="844"/>
      <c r="AC499" s="919">
        <v>0</v>
      </c>
      <c r="AD499" s="964"/>
      <c r="AE499" s="844"/>
      <c r="AF499" s="919">
        <v>0</v>
      </c>
      <c r="AG499" s="964"/>
      <c r="AH499" s="844"/>
      <c r="AI499" s="919">
        <v>0</v>
      </c>
      <c r="AJ499" s="964"/>
      <c r="AK499" s="844"/>
      <c r="AL499" s="919">
        <v>0</v>
      </c>
      <c r="AM499" s="964"/>
      <c r="AN499" s="844"/>
      <c r="AO499" s="919">
        <v>0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" thickBot="1">
      <c r="A500" s="539" t="str">
        <f t="shared" si="10"/>
        <v>Revenus d'intérêts Floor plan</v>
      </c>
      <c r="B500" s="650" t="s">
        <v>2936</v>
      </c>
      <c r="C500" s="964"/>
      <c r="D500" s="844"/>
      <c r="E500" s="919">
        <v>-69462.67</v>
      </c>
      <c r="F500" s="964"/>
      <c r="G500" s="844"/>
      <c r="H500" s="919">
        <v>-9912.02</v>
      </c>
      <c r="I500" s="964"/>
      <c r="J500" s="844"/>
      <c r="K500" s="919">
        <v>-6952.87</v>
      </c>
      <c r="L500" s="964"/>
      <c r="M500" s="844"/>
      <c r="N500" s="919">
        <v>-7344.29</v>
      </c>
      <c r="O500" s="964"/>
      <c r="P500" s="844"/>
      <c r="Q500" s="919">
        <v>-7075.41</v>
      </c>
      <c r="R500" s="964"/>
      <c r="S500" s="844"/>
      <c r="T500" s="919">
        <v>-7311.25</v>
      </c>
      <c r="U500" s="964"/>
      <c r="V500" s="844"/>
      <c r="W500" s="919">
        <v>-6915.57</v>
      </c>
      <c r="X500" s="964"/>
      <c r="Y500" s="844"/>
      <c r="Z500" s="919">
        <v>-5954.65</v>
      </c>
      <c r="AA500" s="964"/>
      <c r="AB500" s="844"/>
      <c r="AC500" s="919">
        <v>-3748.53</v>
      </c>
      <c r="AD500" s="964"/>
      <c r="AE500" s="844"/>
      <c r="AF500" s="919">
        <v>-2916.39</v>
      </c>
      <c r="AG500" s="964"/>
      <c r="AH500" s="844"/>
      <c r="AI500" s="919">
        <v>-3379.51</v>
      </c>
      <c r="AJ500" s="964"/>
      <c r="AK500" s="844"/>
      <c r="AL500" s="919">
        <v>-3007.92</v>
      </c>
      <c r="AM500" s="964"/>
      <c r="AN500" s="844"/>
      <c r="AO500" s="919">
        <v>-4944.26</v>
      </c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9.5" thickTop="1" thickBot="1">
      <c r="B501" s="651" t="s">
        <v>42</v>
      </c>
      <c r="C501" s="965"/>
      <c r="D501" s="966"/>
      <c r="E501" s="967"/>
      <c r="F501" s="965"/>
      <c r="G501" s="966"/>
      <c r="H501" s="967">
        <v>0</v>
      </c>
      <c r="I501" s="965"/>
      <c r="J501" s="966"/>
      <c r="K501" s="967">
        <v>0</v>
      </c>
      <c r="L501" s="965"/>
      <c r="M501" s="966"/>
      <c r="N501" s="967">
        <v>0</v>
      </c>
      <c r="O501" s="965"/>
      <c r="P501" s="966"/>
      <c r="Q501" s="967">
        <v>0</v>
      </c>
      <c r="R501" s="965"/>
      <c r="S501" s="966"/>
      <c r="T501" s="967">
        <v>0</v>
      </c>
      <c r="U501" s="965"/>
      <c r="V501" s="966"/>
      <c r="W501" s="967">
        <v>0</v>
      </c>
      <c r="X501" s="965"/>
      <c r="Y501" s="966"/>
      <c r="Z501" s="967">
        <v>0</v>
      </c>
      <c r="AA501" s="965"/>
      <c r="AB501" s="966"/>
      <c r="AC501" s="967">
        <v>0</v>
      </c>
      <c r="AD501" s="965"/>
      <c r="AE501" s="966"/>
      <c r="AF501" s="967">
        <v>0</v>
      </c>
      <c r="AG501" s="965"/>
      <c r="AH501" s="966"/>
      <c r="AI501" s="967">
        <v>0</v>
      </c>
      <c r="AJ501" s="965"/>
      <c r="AK501" s="966"/>
      <c r="AL501" s="967">
        <v>0</v>
      </c>
      <c r="AM501" s="965"/>
      <c r="AN501" s="966"/>
      <c r="AO501" s="967">
        <v>0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5" thickTop="1">
      <c r="B502" s="516" t="s">
        <v>253</v>
      </c>
      <c r="C502" s="516" t="s">
        <v>247</v>
      </c>
      <c r="D502" s="516">
        <v>1.5201811489845759E-2</v>
      </c>
      <c r="E502" s="516">
        <v>708912.46999999741</v>
      </c>
      <c r="F502" s="516" t="s">
        <v>247</v>
      </c>
      <c r="G502" s="516">
        <v>9.0147187851284342E-3</v>
      </c>
      <c r="H502" s="516">
        <v>-101621.15999999935</v>
      </c>
      <c r="I502" s="516" t="s">
        <v>247</v>
      </c>
      <c r="J502" s="516">
        <v>1.0090147187851299</v>
      </c>
      <c r="K502" s="516">
        <v>-118523.61000000032</v>
      </c>
      <c r="L502" s="516" t="s">
        <v>247</v>
      </c>
      <c r="M502" s="516">
        <v>1.0090147187851299</v>
      </c>
      <c r="N502" s="516">
        <v>168781.63999999958</v>
      </c>
      <c r="O502" s="516" t="s">
        <v>247</v>
      </c>
      <c r="P502" s="516">
        <v>1.0090147187851299</v>
      </c>
      <c r="Q502" s="516">
        <v>153682.18000000066</v>
      </c>
      <c r="R502" s="516" t="s">
        <v>247</v>
      </c>
      <c r="S502" s="516">
        <v>2.0090147187851302</v>
      </c>
      <c r="T502" s="516">
        <v>211225.48999999982</v>
      </c>
      <c r="U502" s="516" t="s">
        <v>247</v>
      </c>
      <c r="V502" s="516">
        <v>3.0090147187851302</v>
      </c>
      <c r="W502" s="516">
        <v>11345.609999999513</v>
      </c>
      <c r="X502" s="516" t="s">
        <v>247</v>
      </c>
      <c r="Y502" s="516">
        <v>3.0090147187851302</v>
      </c>
      <c r="Z502" s="516">
        <v>-3637.530000000721</v>
      </c>
      <c r="AA502" s="516" t="s">
        <v>247</v>
      </c>
      <c r="AB502" s="516">
        <v>3.0090147187851302</v>
      </c>
      <c r="AC502" s="516">
        <v>-24325.840000000375</v>
      </c>
      <c r="AD502" s="516" t="s">
        <v>247</v>
      </c>
      <c r="AE502" s="516">
        <v>3.0090147187851302</v>
      </c>
      <c r="AF502" s="516">
        <v>110888.96000000021</v>
      </c>
      <c r="AG502" s="516" t="s">
        <v>247</v>
      </c>
      <c r="AH502" s="516">
        <v>3.0090147187851302</v>
      </c>
      <c r="AI502" s="516">
        <v>110237.63999999982</v>
      </c>
      <c r="AJ502" s="516" t="s">
        <v>247</v>
      </c>
      <c r="AK502" s="516">
        <v>3.0090147187851302</v>
      </c>
      <c r="AL502" s="516">
        <v>177525.75999999943</v>
      </c>
      <c r="AM502" s="516" t="s">
        <v>247</v>
      </c>
      <c r="AN502" s="516">
        <v>3.0090147187851302</v>
      </c>
      <c r="AO502" s="516">
        <v>13333.329999999714</v>
      </c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75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75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75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75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75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75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75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75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75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75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75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75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75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75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75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75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75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75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75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75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75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75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75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75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75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75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8.75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75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75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75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75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75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75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75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75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75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75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75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75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75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75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75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75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75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75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75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75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75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75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75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75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75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75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75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75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75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75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75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75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75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75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75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75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75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75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75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75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75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75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75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75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75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75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75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75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75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75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75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75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75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75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75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75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75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75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75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75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75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75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75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75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75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75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75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75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75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75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75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75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75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75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75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75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75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75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75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75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75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75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75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75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75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75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75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75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75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75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75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75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75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75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75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75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75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75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75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75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75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75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75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75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75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75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75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75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75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75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75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75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75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75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75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75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75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75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75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8.75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75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75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75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75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75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75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75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75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75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75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75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75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75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75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75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75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75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75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75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75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75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75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75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75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75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75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75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75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75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75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75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75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75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75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75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75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75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75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75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75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75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75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75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75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75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75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75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75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75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75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75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75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75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75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75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75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75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75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75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75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8.75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75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75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75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75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75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75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75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75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75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75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75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75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75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75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75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75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75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75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75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75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75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75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75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75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75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75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75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75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75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75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75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75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75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75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75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75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75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75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75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75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75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75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75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75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75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75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75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75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75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75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75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75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75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75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75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75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75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75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75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75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75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75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75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75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75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75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75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75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75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75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75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75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75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75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75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75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75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75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75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75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75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75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75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75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75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75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75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75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75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75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75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75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75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75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75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75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75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75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75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75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75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75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75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75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75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75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75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75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75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75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75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75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75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75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75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75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75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75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75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75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75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75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75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75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75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75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75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75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75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75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75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75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75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75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75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75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75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75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75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75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75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75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75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75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75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75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75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75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75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75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75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75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75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75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75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75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75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75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75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75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75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75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75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75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75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75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75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75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75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75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75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75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75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75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75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75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75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75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75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75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75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75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75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75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75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75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75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75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75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75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75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75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75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75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75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75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75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75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75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75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75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75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75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75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75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75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75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75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75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75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75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75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75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75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75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75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75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75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75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75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75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75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75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75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75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75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75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75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75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75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75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75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75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75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75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75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75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75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75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75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75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75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75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75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75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75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75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75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75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75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75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75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75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75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75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75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75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75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75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75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75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75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75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75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75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75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75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75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75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75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75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75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75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75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75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75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75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75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75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75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75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75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75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75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75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75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75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75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75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75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75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75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75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75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75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75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75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75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75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75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75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75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75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75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75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75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75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75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75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75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75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75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75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75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75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75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75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75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75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75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75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75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75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75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75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75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75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75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75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75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75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75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75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75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75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75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75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75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75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75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75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75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75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75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75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75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75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75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75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75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75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75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75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75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75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75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75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75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75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75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75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75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75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75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75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75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75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75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75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75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75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75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75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75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75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75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75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75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75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75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75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75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75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75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75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75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75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75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75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75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75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75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75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75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75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75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75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75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75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75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75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75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75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75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75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75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75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75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75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75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75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75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75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75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75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75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75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75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75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75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sheetPr codeName="Feuil16"/>
  <dimension ref="B2:I45"/>
  <sheetViews>
    <sheetView showGridLines="0" topLeftCell="A10" zoomScale="90" zoomScaleNormal="90" workbookViewId="0">
      <selection activeCell="D53" sqref="D53"/>
    </sheetView>
  </sheetViews>
  <sheetFormatPr baseColWidth="10" defaultColWidth="11" defaultRowHeight="14.25"/>
  <cols>
    <col min="1" max="1" width="11" style="1013"/>
    <col min="2" max="2" width="19.875" style="1013" customWidth="1"/>
    <col min="3" max="4" width="13.25" style="1014" customWidth="1"/>
    <col min="5" max="9" width="13.25" style="1013" customWidth="1"/>
    <col min="10" max="16384" width="11" style="1013"/>
  </cols>
  <sheetData>
    <row r="2" spans="2:9" ht="15" customHeight="1"/>
    <row r="3" spans="2:9" ht="15" thickBot="1"/>
    <row r="4" spans="2:9" ht="21" thickBot="1">
      <c r="C4" s="1291" t="str">
        <f>Parametres!B3</f>
        <v>Décembre</v>
      </c>
      <c r="D4" s="1292"/>
      <c r="E4" s="1292"/>
      <c r="F4" s="1292"/>
      <c r="G4" s="1292"/>
      <c r="H4" s="1292"/>
      <c r="I4" s="1293"/>
    </row>
    <row r="5" spans="2:9" s="1155" customFormat="1" ht="30.75" thickBot="1">
      <c r="C5" s="1269" t="s">
        <v>2946</v>
      </c>
      <c r="D5" s="1156" t="s">
        <v>2868</v>
      </c>
      <c r="E5" s="1171" t="s">
        <v>2949</v>
      </c>
      <c r="F5" s="1157" t="s">
        <v>6</v>
      </c>
      <c r="G5" s="1171" t="s">
        <v>2950</v>
      </c>
      <c r="H5" s="1157">
        <v>2024</v>
      </c>
      <c r="I5" s="1171" t="s">
        <v>2951</v>
      </c>
    </row>
    <row r="6" spans="2:9" s="1155" customFormat="1">
      <c r="B6" s="1160" t="s">
        <v>2957</v>
      </c>
      <c r="C6" s="1162">
        <f>Print_Mois!J27</f>
        <v>12</v>
      </c>
      <c r="D6" s="1163">
        <f>Print_Mois!W28</f>
        <v>0</v>
      </c>
      <c r="E6" s="1172">
        <f t="shared" ref="E6:E15" si="0">C6-D6</f>
        <v>12</v>
      </c>
      <c r="F6" s="1164">
        <f>Print_Mois!D27</f>
        <v>18</v>
      </c>
      <c r="G6" s="1172">
        <f t="shared" ref="G6:G7" si="1">C6-F6</f>
        <v>-6</v>
      </c>
      <c r="H6" s="1165">
        <f>Print_Mois!O27</f>
        <v>25</v>
      </c>
      <c r="I6" s="1172">
        <f t="shared" ref="I6:I15" si="2">C6-H6</f>
        <v>-13</v>
      </c>
    </row>
    <row r="7" spans="2:9" s="1155" customFormat="1" ht="15" thickBot="1">
      <c r="B7" s="1161" t="s">
        <v>2958</v>
      </c>
      <c r="C7" s="1166">
        <f>Print_Mois!J97</f>
        <v>5</v>
      </c>
      <c r="D7" s="1167">
        <f>Print_Mois!W109</f>
        <v>0</v>
      </c>
      <c r="E7" s="1173">
        <f t="shared" si="0"/>
        <v>5</v>
      </c>
      <c r="F7" s="1168">
        <f>Print_Mois!D97</f>
        <v>12</v>
      </c>
      <c r="G7" s="1173">
        <f t="shared" si="1"/>
        <v>-7</v>
      </c>
      <c r="H7" s="1169">
        <f>Print_Mois!O97</f>
        <v>13</v>
      </c>
      <c r="I7" s="1173">
        <f t="shared" si="2"/>
        <v>-8</v>
      </c>
    </row>
    <row r="8" spans="2:9">
      <c r="B8" s="1143" t="s">
        <v>2943</v>
      </c>
      <c r="C8" s="1270">
        <f>Print_Mois!L27</f>
        <v>51252.730000000018</v>
      </c>
      <c r="D8" s="1146">
        <f>Print_Mois!W27</f>
        <v>0</v>
      </c>
      <c r="E8" s="1174">
        <f t="shared" si="0"/>
        <v>51252.730000000018</v>
      </c>
      <c r="F8" s="1147">
        <f>Print_Mois!F27</f>
        <v>99057.790557414512</v>
      </c>
      <c r="G8" s="1174">
        <f>C8-F8</f>
        <v>-47805.060557414494</v>
      </c>
      <c r="H8" s="1147">
        <f>Print_Mois!Q27</f>
        <v>178184.19000000009</v>
      </c>
      <c r="I8" s="1174">
        <f t="shared" si="2"/>
        <v>-126931.46000000008</v>
      </c>
    </row>
    <row r="9" spans="2:9">
      <c r="B9" s="1143" t="s">
        <v>2944</v>
      </c>
      <c r="C9" s="1270">
        <f>Print_Mois!L108</f>
        <v>25623.140000000003</v>
      </c>
      <c r="D9" s="1146">
        <f>Print_Mois!W108</f>
        <v>0</v>
      </c>
      <c r="E9" s="1174">
        <f t="shared" si="0"/>
        <v>25623.140000000003</v>
      </c>
      <c r="F9" s="1147">
        <f>Print_Mois!F108</f>
        <v>42850</v>
      </c>
      <c r="G9" s="1174">
        <f t="shared" ref="G9:G15" si="3">C9-F9</f>
        <v>-17226.859999999997</v>
      </c>
      <c r="H9" s="1147">
        <f>Print_Mois!Q108</f>
        <v>40604.519999999902</v>
      </c>
      <c r="I9" s="1174">
        <f t="shared" si="2"/>
        <v>-14981.379999999899</v>
      </c>
    </row>
    <row r="10" spans="2:9">
      <c r="B10" s="1143" t="s">
        <v>2947</v>
      </c>
      <c r="C10" s="1270">
        <f>Print_Mois!L194</f>
        <v>66861.55</v>
      </c>
      <c r="D10" s="1146">
        <f>Print_Mois!W194</f>
        <v>0</v>
      </c>
      <c r="E10" s="1174">
        <f t="shared" si="0"/>
        <v>66861.55</v>
      </c>
      <c r="F10" s="1147">
        <f>Print_Mois!F194</f>
        <v>64133.687378949136</v>
      </c>
      <c r="G10" s="1174">
        <f t="shared" si="3"/>
        <v>2727.8626210508664</v>
      </c>
      <c r="H10" s="1147">
        <f>Print_Mois!Q194+Print_Mois!Q250</f>
        <v>72354.05</v>
      </c>
      <c r="I10" s="1174">
        <f t="shared" si="2"/>
        <v>-5492.5</v>
      </c>
    </row>
    <row r="11" spans="2:9" ht="15" thickBot="1">
      <c r="B11" s="1143" t="s">
        <v>2948</v>
      </c>
      <c r="C11" s="1270">
        <f>+Print_Mois!L314</f>
        <v>62155.860000000008</v>
      </c>
      <c r="D11" s="1146">
        <f>Print_Mois!W314</f>
        <v>0</v>
      </c>
      <c r="E11" s="1174">
        <f t="shared" si="0"/>
        <v>62155.860000000008</v>
      </c>
      <c r="F11" s="1147">
        <f>+Print_Mois!F314</f>
        <v>73711.110237008194</v>
      </c>
      <c r="G11" s="1174">
        <f t="shared" si="3"/>
        <v>-11555.250237008186</v>
      </c>
      <c r="H11" s="1147">
        <f>+Print_Mois!Q314</f>
        <v>90950.609999999695</v>
      </c>
      <c r="I11" s="1174">
        <f t="shared" si="2"/>
        <v>-28794.749999999687</v>
      </c>
    </row>
    <row r="12" spans="2:9" ht="15" thickTop="1">
      <c r="B12" s="1151" t="s">
        <v>2945</v>
      </c>
      <c r="C12" s="1271">
        <f>SUM(C8:C11)</f>
        <v>205893.28000000006</v>
      </c>
      <c r="D12" s="1152">
        <f>SUM(D8:D11)</f>
        <v>0</v>
      </c>
      <c r="E12" s="1175">
        <f>C12-D12</f>
        <v>205893.28000000006</v>
      </c>
      <c r="F12" s="1153">
        <f>SUM(F8:F11)</f>
        <v>279752.58817337186</v>
      </c>
      <c r="G12" s="1175">
        <f t="shared" si="3"/>
        <v>-73859.308173371799</v>
      </c>
      <c r="H12" s="1153">
        <f>SUM(H8:H11)</f>
        <v>382093.3699999997</v>
      </c>
      <c r="I12" s="1175">
        <f t="shared" si="2"/>
        <v>-176200.08999999965</v>
      </c>
    </row>
    <row r="13" spans="2:9">
      <c r="B13" s="1143" t="s">
        <v>2942</v>
      </c>
      <c r="C13" s="1270">
        <f>Print_Mois!AF481</f>
        <v>70620.149999999994</v>
      </c>
      <c r="D13" s="1146">
        <f>Print_Mois!AR481</f>
        <v>0</v>
      </c>
      <c r="E13" s="1174">
        <f t="shared" si="0"/>
        <v>70620.149999999994</v>
      </c>
      <c r="F13" s="1147">
        <f>Print_Mois!Z481</f>
        <v>93980.030741818191</v>
      </c>
      <c r="G13" s="1174">
        <f t="shared" si="3"/>
        <v>-23359.880741818197</v>
      </c>
      <c r="H13" s="1147">
        <f>Print_Mois!AL481</f>
        <v>109430.8</v>
      </c>
      <c r="I13" s="1174">
        <f t="shared" si="2"/>
        <v>-38810.650000000009</v>
      </c>
    </row>
    <row r="14" spans="2:9">
      <c r="B14" s="1143" t="s">
        <v>2941</v>
      </c>
      <c r="C14" s="1270">
        <f>-Print_Mois!AF468+Print_Mois!AF415</f>
        <v>-293889.56</v>
      </c>
      <c r="D14" s="1146">
        <f>-Print_Mois!AR468</f>
        <v>0</v>
      </c>
      <c r="E14" s="1174">
        <f t="shared" si="0"/>
        <v>-293889.56</v>
      </c>
      <c r="F14" s="1147">
        <f>-Print_Mois!Z468+Print_Mois!Z415</f>
        <v>-392041.64872286742</v>
      </c>
      <c r="G14" s="1174">
        <f t="shared" si="3"/>
        <v>98152.088722867426</v>
      </c>
      <c r="H14" s="1147">
        <f>-Print_Mois!AL468+Print_Mois!AL415</f>
        <v>-448007.55</v>
      </c>
      <c r="I14" s="1174">
        <f t="shared" si="2"/>
        <v>154117.99</v>
      </c>
    </row>
    <row r="15" spans="2:9" ht="15" thickBot="1">
      <c r="B15" s="1143" t="s">
        <v>2960</v>
      </c>
      <c r="C15" s="1270">
        <f>-SUM(Print_Mois!AF491:AF497)-Print_Mois!AF415</f>
        <v>-25268.969999999998</v>
      </c>
      <c r="D15" s="1146">
        <f>-Print_Mois!AR498</f>
        <v>0</v>
      </c>
      <c r="E15" s="1174">
        <f t="shared" si="0"/>
        <v>-25268.969999999998</v>
      </c>
      <c r="F15" s="1147">
        <f>-SUM(Print_Mois!Z491:Z497)-Print_Mois!Z415</f>
        <v>-44345.860969638117</v>
      </c>
      <c r="G15" s="1174">
        <f t="shared" si="3"/>
        <v>19076.89096963812</v>
      </c>
      <c r="H15" s="1147">
        <f>-SUM(Print_Mois!AL491:AL497)-Print_Mois!AL415</f>
        <v>-30183.29</v>
      </c>
      <c r="I15" s="1174">
        <f t="shared" si="2"/>
        <v>4914.3200000000033</v>
      </c>
    </row>
    <row r="16" spans="2:9" ht="16.5" thickTop="1" thickBot="1">
      <c r="B16" s="1148" t="s">
        <v>2826</v>
      </c>
      <c r="C16" s="1272">
        <f t="shared" ref="C16:I16" si="4">SUM(C12:C15)</f>
        <v>-42645.099999999948</v>
      </c>
      <c r="D16" s="1149">
        <f t="shared" si="4"/>
        <v>0</v>
      </c>
      <c r="E16" s="1177">
        <f t="shared" si="4"/>
        <v>-42645.099999999948</v>
      </c>
      <c r="F16" s="1150">
        <f t="shared" si="4"/>
        <v>-62654.890777315493</v>
      </c>
      <c r="G16" s="1177">
        <f t="shared" si="4"/>
        <v>20009.790777315549</v>
      </c>
      <c r="H16" s="1150">
        <f t="shared" si="4"/>
        <v>13333.329999999703</v>
      </c>
      <c r="I16" s="1177">
        <f t="shared" si="4"/>
        <v>-55978.429999999644</v>
      </c>
    </row>
    <row r="17" spans="2:7" ht="15" thickBot="1"/>
    <row r="18" spans="2:7" ht="21" thickBot="1">
      <c r="C18" s="1291" t="str">
        <f>CONCATENATE("Année à date ",Parametres!B3)</f>
        <v>Année à date Décembre</v>
      </c>
      <c r="D18" s="1292"/>
      <c r="E18" s="1292"/>
      <c r="F18" s="1292"/>
      <c r="G18" s="1293"/>
    </row>
    <row r="19" spans="2:7" ht="30.75" thickBot="1">
      <c r="B19" s="1155"/>
      <c r="C19" s="1156" t="s">
        <v>2959</v>
      </c>
      <c r="D19" s="1156" t="s">
        <v>2961</v>
      </c>
      <c r="E19" s="1171" t="s">
        <v>2950</v>
      </c>
      <c r="F19" s="1157" t="s">
        <v>2962</v>
      </c>
      <c r="G19" s="1171" t="s">
        <v>2951</v>
      </c>
    </row>
    <row r="20" spans="2:7">
      <c r="B20" s="1160" t="s">
        <v>2957</v>
      </c>
      <c r="C20" s="1162">
        <f>Print_AAD!J27</f>
        <v>12</v>
      </c>
      <c r="D20" s="1164">
        <f>Print_AAD!D27</f>
        <v>275</v>
      </c>
      <c r="E20" s="1172">
        <f t="shared" ref="E20:E29" si="5">C20-D20</f>
        <v>-263</v>
      </c>
      <c r="F20" s="1165">
        <f>Print_AAD!O27</f>
        <v>270</v>
      </c>
      <c r="G20" s="1172">
        <f t="shared" ref="G20:G29" si="6">C20-F20</f>
        <v>-258</v>
      </c>
    </row>
    <row r="21" spans="2:7" ht="15" thickBot="1">
      <c r="B21" s="1161" t="s">
        <v>2958</v>
      </c>
      <c r="C21" s="1166">
        <f>Print_AAD!J97</f>
        <v>5</v>
      </c>
      <c r="D21" s="1168">
        <f>Print_AAD!D97</f>
        <v>225</v>
      </c>
      <c r="E21" s="1173">
        <f t="shared" si="5"/>
        <v>-220</v>
      </c>
      <c r="F21" s="1169">
        <f>Print_AAD!O97</f>
        <v>198</v>
      </c>
      <c r="G21" s="1173">
        <f t="shared" si="6"/>
        <v>-193</v>
      </c>
    </row>
    <row r="22" spans="2:7">
      <c r="B22" s="1142" t="s">
        <v>2943</v>
      </c>
      <c r="C22" s="1144">
        <f>Print_AAD!L27</f>
        <v>51252.730000000018</v>
      </c>
      <c r="D22" s="1144">
        <f>Print_AAD!F27</f>
        <v>1480780</v>
      </c>
      <c r="E22" s="1176">
        <f t="shared" si="5"/>
        <v>-1429527.27</v>
      </c>
      <c r="F22" s="1145">
        <f>Print_AAD!Q27</f>
        <v>1642366.7999999989</v>
      </c>
      <c r="G22" s="1176">
        <f t="shared" si="6"/>
        <v>-1591114.0699999989</v>
      </c>
    </row>
    <row r="23" spans="2:7">
      <c r="B23" s="1143" t="s">
        <v>2944</v>
      </c>
      <c r="C23" s="1146">
        <f>Print_AAD!L108</f>
        <v>25623.140000000003</v>
      </c>
      <c r="D23" s="1146">
        <f>Print_AAD!F108</f>
        <v>808250</v>
      </c>
      <c r="E23" s="1174">
        <f t="shared" si="5"/>
        <v>-782626.86</v>
      </c>
      <c r="F23" s="1147">
        <f>Print_AAD!Q108</f>
        <v>714301.35999999917</v>
      </c>
      <c r="G23" s="1174">
        <f t="shared" si="6"/>
        <v>-688678.21999999916</v>
      </c>
    </row>
    <row r="24" spans="2:7">
      <c r="B24" s="1143" t="s">
        <v>2947</v>
      </c>
      <c r="C24" s="1146">
        <f>Print_AAD!L194</f>
        <v>66861.55</v>
      </c>
      <c r="D24" s="1146">
        <f>Print_AAD!F194</f>
        <v>1181672.7754636507</v>
      </c>
      <c r="E24" s="1174">
        <f t="shared" si="5"/>
        <v>-1114811.2254636507</v>
      </c>
      <c r="F24" s="1147">
        <f>Print_AAD!Q194+Print_AAD!Q250</f>
        <v>1107456.0599999989</v>
      </c>
      <c r="G24" s="1174">
        <f t="shared" si="6"/>
        <v>-1040594.5099999988</v>
      </c>
    </row>
    <row r="25" spans="2:7" ht="15" thickBot="1">
      <c r="B25" s="1143" t="s">
        <v>2948</v>
      </c>
      <c r="C25" s="1146">
        <f>Print_AAD!L314</f>
        <v>62155.860000000008</v>
      </c>
      <c r="D25" s="1146">
        <f>Print_AAD!F314</f>
        <v>1077498</v>
      </c>
      <c r="E25" s="1174">
        <f t="shared" si="5"/>
        <v>-1015342.14</v>
      </c>
      <c r="F25" s="1147">
        <f>Print_AAD!Q314</f>
        <v>1065724.8499999978</v>
      </c>
      <c r="G25" s="1174">
        <f t="shared" si="6"/>
        <v>-1003568.9899999978</v>
      </c>
    </row>
    <row r="26" spans="2:7" ht="15" thickTop="1">
      <c r="B26" s="1151" t="s">
        <v>2945</v>
      </c>
      <c r="C26" s="1152">
        <f>SUM(C22:C25)</f>
        <v>205893.28000000006</v>
      </c>
      <c r="D26" s="1152">
        <f>SUM(D22:D25)</f>
        <v>4548200.7754636509</v>
      </c>
      <c r="E26" s="1175">
        <f t="shared" si="5"/>
        <v>-4342307.4954636507</v>
      </c>
      <c r="F26" s="1153">
        <f>SUM(F22:F25)</f>
        <v>4529849.0699999947</v>
      </c>
      <c r="G26" s="1175">
        <f t="shared" si="6"/>
        <v>-4323955.7899999944</v>
      </c>
    </row>
    <row r="27" spans="2:7">
      <c r="B27" s="1143" t="s">
        <v>2942</v>
      </c>
      <c r="C27" s="1146">
        <f>Print_AAD!AF481</f>
        <v>70620.149999999994</v>
      </c>
      <c r="D27" s="1146">
        <f>Print_AAD!Z481</f>
        <v>1461694.3280000002</v>
      </c>
      <c r="E27" s="1174">
        <f t="shared" si="5"/>
        <v>-1391074.1780000003</v>
      </c>
      <c r="F27" s="1147">
        <f>Print_AAD!AL481</f>
        <v>1595522.3199999998</v>
      </c>
      <c r="G27" s="1174">
        <f t="shared" si="6"/>
        <v>-1524902.17</v>
      </c>
    </row>
    <row r="28" spans="2:7">
      <c r="B28" s="1143" t="s">
        <v>2941</v>
      </c>
      <c r="C28" s="1146">
        <f>-Print_AAD!AF468+Print_AAD!AF415</f>
        <v>-293889.56</v>
      </c>
      <c r="D28" s="1146">
        <f>-Print_AAD!Z468+Print_AAD!Z415</f>
        <v>-4868358.0988331623</v>
      </c>
      <c r="E28" s="1174">
        <f t="shared" si="5"/>
        <v>4574468.5388331627</v>
      </c>
      <c r="F28" s="1147">
        <f>-Print_AAD!AL468+Print_AAD!AL415</f>
        <v>-4802940.5199999986</v>
      </c>
      <c r="G28" s="1174">
        <f t="shared" si="6"/>
        <v>4509050.959999999</v>
      </c>
    </row>
    <row r="29" spans="2:7" ht="15" thickBot="1">
      <c r="B29" s="1143" t="s">
        <v>2960</v>
      </c>
      <c r="C29" s="1146">
        <f>-Print_AAD!AF491-Print_AAD!AF496-Print_AAD!AF415</f>
        <v>-25268.969999999998</v>
      </c>
      <c r="D29" s="1146">
        <f>-Print_AAD!Z491-Print_AAD!Z496-Print_AAD!Z415</f>
        <v>-580745.47608417983</v>
      </c>
      <c r="E29" s="1174">
        <f t="shared" si="5"/>
        <v>555476.50608417985</v>
      </c>
      <c r="F29" s="1147">
        <f>-Print_AAD!AL491-Print_AAD!AL496-Print_AAD!AL415</f>
        <v>-613518.39999999991</v>
      </c>
      <c r="G29" s="1174">
        <f t="shared" si="6"/>
        <v>588249.42999999993</v>
      </c>
    </row>
    <row r="30" spans="2:7" ht="16.5" thickTop="1" thickBot="1">
      <c r="B30" s="1148" t="s">
        <v>2826</v>
      </c>
      <c r="C30" s="1149">
        <f t="shared" ref="C30:G30" si="7">SUM(C26:C29)</f>
        <v>-42645.099999999948</v>
      </c>
      <c r="D30" s="1149">
        <f t="shared" si="7"/>
        <v>560791.52854630945</v>
      </c>
      <c r="E30" s="1177">
        <f t="shared" si="7"/>
        <v>-603436.62854630838</v>
      </c>
      <c r="F30" s="1150">
        <f t="shared" si="7"/>
        <v>708912.46999999648</v>
      </c>
      <c r="G30" s="1177">
        <f t="shared" si="7"/>
        <v>-751557.56999999541</v>
      </c>
    </row>
    <row r="32" spans="2:7" ht="21" hidden="1" thickBot="1">
      <c r="C32" s="1291" t="s">
        <v>2999</v>
      </c>
      <c r="D32" s="1292"/>
      <c r="E32" s="1292"/>
      <c r="F32" s="1292"/>
      <c r="G32" s="1293"/>
    </row>
    <row r="33" spans="2:7" ht="30.75" hidden="1" thickBot="1">
      <c r="B33" s="1155"/>
      <c r="C33" s="1156" t="s">
        <v>2986</v>
      </c>
      <c r="D33" s="1156" t="s">
        <v>2988</v>
      </c>
      <c r="E33" s="1171" t="s">
        <v>2950</v>
      </c>
      <c r="F33" s="1157" t="s">
        <v>2987</v>
      </c>
      <c r="G33" s="1171" t="s">
        <v>2951</v>
      </c>
    </row>
    <row r="34" spans="2:7" hidden="1">
      <c r="B34" s="1160" t="s">
        <v>2957</v>
      </c>
      <c r="C34" s="1162">
        <f>'Q3'!J27</f>
        <v>56</v>
      </c>
      <c r="D34" s="1164">
        <f>'Q3'!D27</f>
        <v>65</v>
      </c>
      <c r="E34" s="1172">
        <f t="shared" ref="E34:E43" si="8">C34-D34</f>
        <v>-9</v>
      </c>
      <c r="F34" s="1165">
        <f>'Q3'!O27</f>
        <v>58</v>
      </c>
      <c r="G34" s="1172">
        <f t="shared" ref="G34:G43" si="9">C34-F34</f>
        <v>-2</v>
      </c>
    </row>
    <row r="35" spans="2:7" ht="15" hidden="1" thickBot="1">
      <c r="B35" s="1161" t="s">
        <v>2958</v>
      </c>
      <c r="C35" s="1166">
        <f>'Q3'!J97</f>
        <v>44</v>
      </c>
      <c r="D35" s="1168">
        <f>'Q3'!D97</f>
        <v>63</v>
      </c>
      <c r="E35" s="1173">
        <f t="shared" si="8"/>
        <v>-19</v>
      </c>
      <c r="F35" s="1169">
        <f>'Q3'!O97</f>
        <v>54</v>
      </c>
      <c r="G35" s="1173">
        <f t="shared" si="9"/>
        <v>-10</v>
      </c>
    </row>
    <row r="36" spans="2:7" hidden="1">
      <c r="B36" s="1142" t="s">
        <v>2943</v>
      </c>
      <c r="C36" s="1144">
        <f>'Q3'!L27</f>
        <v>326564.40000000002</v>
      </c>
      <c r="D36" s="1144">
        <f>'Q3'!F27</f>
        <v>348933.47566909145</v>
      </c>
      <c r="E36" s="1176">
        <f t="shared" si="8"/>
        <v>-22369.075669091428</v>
      </c>
      <c r="F36" s="1145">
        <f>'Q3'!Q27</f>
        <v>341892.38999999937</v>
      </c>
      <c r="G36" s="1176">
        <f t="shared" si="9"/>
        <v>-15327.98999999935</v>
      </c>
    </row>
    <row r="37" spans="2:7" hidden="1">
      <c r="B37" s="1143" t="s">
        <v>2944</v>
      </c>
      <c r="C37" s="1146">
        <f>'Q3'!L108</f>
        <v>147940.90999999997</v>
      </c>
      <c r="D37" s="1146">
        <f>'Q3'!F108</f>
        <v>226800</v>
      </c>
      <c r="E37" s="1174">
        <f t="shared" si="8"/>
        <v>-78859.090000000026</v>
      </c>
      <c r="F37" s="1147">
        <f>'Q3'!Q108</f>
        <v>184032.50999999978</v>
      </c>
      <c r="G37" s="1174">
        <f t="shared" si="9"/>
        <v>-36091.599999999802</v>
      </c>
    </row>
    <row r="38" spans="2:7" hidden="1">
      <c r="B38" s="1143" t="s">
        <v>2947</v>
      </c>
      <c r="C38" s="1146">
        <f>'Q3'!L194+'Q3'!L250</f>
        <v>359854.26999999996</v>
      </c>
      <c r="D38" s="1146">
        <f>'Q3'!F194</f>
        <v>288781.92808234587</v>
      </c>
      <c r="E38" s="1174">
        <f t="shared" si="8"/>
        <v>71072.341917654092</v>
      </c>
      <c r="F38" s="1147">
        <f>'Q3'!Q194+'Q3'!Q250</f>
        <v>264658.05999999976</v>
      </c>
      <c r="G38" s="1174">
        <f t="shared" si="9"/>
        <v>95196.210000000196</v>
      </c>
    </row>
    <row r="39" spans="2:7" ht="15" hidden="1" thickBot="1">
      <c r="B39" s="1143" t="s">
        <v>2948</v>
      </c>
      <c r="C39" s="1146">
        <f>'Q3'!L314</f>
        <v>284289.85000000003</v>
      </c>
      <c r="D39" s="1146">
        <f>'Q3'!F314</f>
        <v>267554.72640354349</v>
      </c>
      <c r="E39" s="1174">
        <f t="shared" si="8"/>
        <v>16735.123596456542</v>
      </c>
      <c r="F39" s="1147">
        <f>'Q3'!Q314</f>
        <v>242648.23999999929</v>
      </c>
      <c r="G39" s="1174">
        <f t="shared" si="9"/>
        <v>41641.610000000743</v>
      </c>
    </row>
    <row r="40" spans="2:7" ht="15" hidden="1" thickTop="1">
      <c r="B40" s="1151" t="s">
        <v>2945</v>
      </c>
      <c r="C40" s="1152">
        <f>SUM(C36:C39)</f>
        <v>1118649.43</v>
      </c>
      <c r="D40" s="1152">
        <f>SUM(D36:D39)</f>
        <v>1132070.1301549808</v>
      </c>
      <c r="E40" s="1175">
        <f t="shared" si="8"/>
        <v>-13420.700154980877</v>
      </c>
      <c r="F40" s="1153">
        <f>SUM(F36:F39)</f>
        <v>1033231.1999999983</v>
      </c>
      <c r="G40" s="1175">
        <f t="shared" si="9"/>
        <v>85418.230000001611</v>
      </c>
    </row>
    <row r="41" spans="2:7" hidden="1">
      <c r="B41" s="1143" t="s">
        <v>2942</v>
      </c>
      <c r="C41" s="1146">
        <f>'Q3'!AF481</f>
        <v>286755.76</v>
      </c>
      <c r="D41" s="1146">
        <f>'Q3'!Z481</f>
        <v>351835.41934545455</v>
      </c>
      <c r="E41" s="1174">
        <f t="shared" si="8"/>
        <v>-65079.659345454536</v>
      </c>
      <c r="F41" s="1147">
        <f>'Q3'!AL481</f>
        <v>321148.83999999997</v>
      </c>
      <c r="G41" s="1174">
        <f t="shared" si="9"/>
        <v>-34393.079999999958</v>
      </c>
    </row>
    <row r="42" spans="2:7" hidden="1">
      <c r="B42" s="1143" t="s">
        <v>2941</v>
      </c>
      <c r="C42" s="1146">
        <f>-'Q3'!AF468+'Q3'!AF415</f>
        <v>-1173970.97</v>
      </c>
      <c r="D42" s="1146">
        <f>-'Q3'!Z468+'Q3'!Z415</f>
        <v>-1205682.9484484862</v>
      </c>
      <c r="E42" s="1174">
        <f t="shared" si="8"/>
        <v>31711.978448486188</v>
      </c>
      <c r="F42" s="1147">
        <f>-'Q3'!AL468+'Q3'!AL415</f>
        <v>-1114700.0099999998</v>
      </c>
      <c r="G42" s="1174">
        <f t="shared" si="9"/>
        <v>-59270.960000000196</v>
      </c>
    </row>
    <row r="43" spans="2:7" ht="15" hidden="1" thickBot="1">
      <c r="B43" s="1143" t="s">
        <v>2960</v>
      </c>
      <c r="C43" s="1146">
        <f>-'Q3'!AF491-'Q3'!AF496-'Q3'!AF415</f>
        <v>-123080.80000000002</v>
      </c>
      <c r="D43" s="1146">
        <f>-'Q3'!Z491-'Q3'!Z496-'Q3'!Z415</f>
        <v>-145151.28674768884</v>
      </c>
      <c r="E43" s="1174">
        <f t="shared" si="8"/>
        <v>22070.486747688818</v>
      </c>
      <c r="F43" s="1147">
        <f>-'Q3'!AL491-'Q3'!AL496-'Q3'!AL415</f>
        <v>-156754.43999999997</v>
      </c>
      <c r="G43" s="1174">
        <f t="shared" si="9"/>
        <v>33673.639999999956</v>
      </c>
    </row>
    <row r="44" spans="2:7" ht="16.5" hidden="1" thickTop="1" thickBot="1">
      <c r="B44" s="1148" t="s">
        <v>2826</v>
      </c>
      <c r="C44" s="1149">
        <f>SUM(C40:C43)</f>
        <v>108353.41999999995</v>
      </c>
      <c r="D44" s="1149">
        <f t="shared" ref="D44:G44" si="10">SUM(D40:D43)</f>
        <v>133071.31430426036</v>
      </c>
      <c r="E44" s="1177">
        <f t="shared" si="10"/>
        <v>-24717.894304260408</v>
      </c>
      <c r="F44" s="1150">
        <f t="shared" si="10"/>
        <v>82925.589999998425</v>
      </c>
      <c r="G44" s="1177">
        <f t="shared" si="10"/>
        <v>25427.830000001413</v>
      </c>
    </row>
    <row r="45" spans="2:7" hidden="1"/>
  </sheetData>
  <mergeCells count="3">
    <mergeCell ref="C4:I4"/>
    <mergeCell ref="C18:G18"/>
    <mergeCell ref="C32:G32"/>
  </mergeCells>
  <pageMargins left="0.7" right="0.7" top="0.75" bottom="0.75" header="0.3" footer="0.3"/>
  <pageSetup orientation="portrait" r:id="rId1"/>
  <ignoredErrors>
    <ignoredError sqref="F6:F7 E12 G12 H6:H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sheetPr codeName="Feuil17"/>
  <dimension ref="A1:BJ702"/>
  <sheetViews>
    <sheetView view="pageBreakPreview" topLeftCell="A88" zoomScale="60" zoomScaleNormal="70" workbookViewId="0">
      <selection activeCell="AM113" sqref="AM113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2997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 t="s">
        <v>270</v>
      </c>
      <c r="H2" s="670" t="s">
        <v>305</v>
      </c>
      <c r="I2" s="670" t="s">
        <v>306</v>
      </c>
      <c r="J2" s="670"/>
      <c r="K2" s="670"/>
      <c r="L2" s="670"/>
      <c r="M2" s="671"/>
      <c r="N2" s="671"/>
      <c r="O2" s="670"/>
      <c r="P2" s="670"/>
      <c r="Q2" s="670"/>
      <c r="R2" s="23"/>
      <c r="S2" s="23"/>
      <c r="T2" s="23"/>
      <c r="U2" s="23"/>
    </row>
    <row r="3" spans="1:40" ht="21" thickTop="1">
      <c r="B3" s="24"/>
      <c r="C3" s="250"/>
      <c r="D3" s="1279" t="s">
        <v>77</v>
      </c>
      <c r="E3" s="1280"/>
      <c r="F3" s="1281"/>
      <c r="G3" s="1284" t="s">
        <v>2980</v>
      </c>
      <c r="H3" s="1280"/>
      <c r="I3" s="1281"/>
      <c r="J3" s="1284" t="s">
        <v>78</v>
      </c>
      <c r="K3" s="1280"/>
      <c r="L3" s="1281"/>
      <c r="M3" s="1284" t="s">
        <v>2442</v>
      </c>
      <c r="N3" s="1281"/>
      <c r="O3" s="1279" t="s">
        <v>79</v>
      </c>
      <c r="P3" s="1280"/>
      <c r="Q3" s="1281"/>
      <c r="R3" s="1282" t="s">
        <v>2446</v>
      </c>
      <c r="S3" s="1283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1220" t="s">
        <v>82</v>
      </c>
      <c r="F4" s="364" t="s">
        <v>83</v>
      </c>
      <c r="G4" s="365" t="s">
        <v>81</v>
      </c>
      <c r="H4" s="1220" t="s">
        <v>82</v>
      </c>
      <c r="I4" s="364" t="s">
        <v>83</v>
      </c>
      <c r="J4" s="365" t="s">
        <v>81</v>
      </c>
      <c r="K4" s="1220" t="s">
        <v>84</v>
      </c>
      <c r="L4" s="364" t="s">
        <v>83</v>
      </c>
      <c r="M4" s="365" t="s">
        <v>2443</v>
      </c>
      <c r="N4" s="364" t="s">
        <v>83</v>
      </c>
      <c r="O4" s="1220" t="s">
        <v>81</v>
      </c>
      <c r="P4" s="1220" t="s">
        <v>84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v>5972880.6793429684</v>
      </c>
      <c r="G5" s="278"/>
      <c r="H5" s="367"/>
      <c r="I5" s="543">
        <v>0</v>
      </c>
      <c r="J5" s="278"/>
      <c r="K5" s="184"/>
      <c r="L5" s="177">
        <v>4999737.17</v>
      </c>
      <c r="M5" s="368"/>
      <c r="N5" s="369"/>
      <c r="O5" s="278"/>
      <c r="P5" s="184"/>
      <c r="Q5" s="177">
        <v>6041748.9199999999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178">
        <v>20</v>
      </c>
      <c r="E6" s="1178">
        <f>IF(D6=0,0,F6/D6)</f>
        <v>4306.395348837209</v>
      </c>
      <c r="F6" s="1178">
        <v>86127.906976744183</v>
      </c>
      <c r="G6" s="182">
        <v>0</v>
      </c>
      <c r="H6" s="1178">
        <f>IF(G6=0,0,I6/G6)</f>
        <v>0</v>
      </c>
      <c r="I6" s="1178">
        <v>0</v>
      </c>
      <c r="J6" s="182">
        <v>19</v>
      </c>
      <c r="K6" s="1178">
        <f>IF(J6=0,0,L6/J6)</f>
        <v>4921.2936842105264</v>
      </c>
      <c r="L6" s="473">
        <v>93504.58</v>
      </c>
      <c r="M6" s="182">
        <f t="shared" ref="M6:M12" si="2">J6-D6</f>
        <v>-1</v>
      </c>
      <c r="N6" s="180">
        <f t="shared" ref="N6:N12" si="3">L6-F6</f>
        <v>7376.6730232558184</v>
      </c>
      <c r="O6" s="182">
        <v>13</v>
      </c>
      <c r="P6" s="1178">
        <f>IF(O6=0,0,Q6/O6)</f>
        <v>3520.2846153846153</v>
      </c>
      <c r="Q6" s="473">
        <v>45763.7</v>
      </c>
      <c r="R6" s="182">
        <f>J6-O6</f>
        <v>6</v>
      </c>
      <c r="S6" s="345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 t="shared" si="1"/>
        <v>Véhicules neufsCamions détail</v>
      </c>
      <c r="B7" s="24" t="str">
        <f t="shared" si="0"/>
        <v>Véhicules neufs</v>
      </c>
      <c r="C7" s="251" t="s">
        <v>87</v>
      </c>
      <c r="D7" s="1178">
        <v>36</v>
      </c>
      <c r="E7" s="1178">
        <f t="shared" ref="E7:E12" si="4">IF(D7=0,0,F7/D7)</f>
        <v>4000.331125827814</v>
      </c>
      <c r="F7" s="1178">
        <v>144011.92052980131</v>
      </c>
      <c r="G7" s="182">
        <v>0</v>
      </c>
      <c r="H7" s="1178">
        <f t="shared" ref="H7:H12" si="5">IF(G7=0,0,I7/G7)</f>
        <v>0</v>
      </c>
      <c r="I7" s="1178">
        <v>0</v>
      </c>
      <c r="J7" s="182">
        <v>27</v>
      </c>
      <c r="K7" s="1178">
        <f t="shared" ref="K7:K12" si="6">IF(J7=0,0,L7/J7)</f>
        <v>3322.0740740740753</v>
      </c>
      <c r="L7" s="473">
        <v>89696.000000000029</v>
      </c>
      <c r="M7" s="182">
        <f t="shared" si="2"/>
        <v>-9</v>
      </c>
      <c r="N7" s="180">
        <f t="shared" si="3"/>
        <v>-54315.920529801282</v>
      </c>
      <c r="O7" s="182">
        <v>34</v>
      </c>
      <c r="P7" s="1178">
        <f t="shared" ref="P7:P12" si="7">IF(O7=0,0,Q7/O7)</f>
        <v>4796.7911764705732</v>
      </c>
      <c r="Q7" s="473">
        <v>163090.8999999995</v>
      </c>
      <c r="R7" s="182">
        <f t="shared" ref="R7:R12" si="8">J7-O7</f>
        <v>-7</v>
      </c>
      <c r="S7" s="345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 t="shared" si="1"/>
        <v>Véhicules neufsSprinter</v>
      </c>
      <c r="B8" s="24" t="str">
        <f t="shared" si="0"/>
        <v>Véhicules neufs</v>
      </c>
      <c r="C8" s="251" t="s">
        <v>88</v>
      </c>
      <c r="D8" s="1178">
        <v>0</v>
      </c>
      <c r="E8" s="1178">
        <f t="shared" si="4"/>
        <v>0</v>
      </c>
      <c r="F8" s="1178">
        <v>0</v>
      </c>
      <c r="G8" s="182">
        <v>0</v>
      </c>
      <c r="H8" s="1178">
        <f t="shared" si="5"/>
        <v>0</v>
      </c>
      <c r="I8" s="1178">
        <v>0</v>
      </c>
      <c r="J8" s="182">
        <v>0</v>
      </c>
      <c r="K8" s="1178">
        <f t="shared" si="6"/>
        <v>0</v>
      </c>
      <c r="L8" s="473">
        <v>0</v>
      </c>
      <c r="M8" s="182">
        <f t="shared" si="2"/>
        <v>0</v>
      </c>
      <c r="N8" s="180">
        <f t="shared" si="3"/>
        <v>0</v>
      </c>
      <c r="O8" s="182">
        <v>0</v>
      </c>
      <c r="P8" s="1178">
        <f t="shared" si="7"/>
        <v>0</v>
      </c>
      <c r="Q8" s="473">
        <v>0</v>
      </c>
      <c r="R8" s="182">
        <f t="shared" si="8"/>
        <v>0</v>
      </c>
      <c r="S8" s="345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 t="shared" si="1"/>
        <v>Véhicules neufsMoto détail</v>
      </c>
      <c r="B9" s="24" t="str">
        <f t="shared" si="0"/>
        <v>Véhicules neufs</v>
      </c>
      <c r="C9" s="251" t="s">
        <v>89</v>
      </c>
      <c r="D9" s="1178">
        <v>0</v>
      </c>
      <c r="E9" s="1178">
        <f t="shared" si="4"/>
        <v>0</v>
      </c>
      <c r="F9" s="1178">
        <v>0</v>
      </c>
      <c r="G9" s="182">
        <v>0</v>
      </c>
      <c r="H9" s="1178">
        <f t="shared" si="5"/>
        <v>0</v>
      </c>
      <c r="I9" s="1178">
        <v>0</v>
      </c>
      <c r="J9" s="182">
        <v>0</v>
      </c>
      <c r="K9" s="1178">
        <f t="shared" si="6"/>
        <v>0</v>
      </c>
      <c r="L9" s="473">
        <v>0</v>
      </c>
      <c r="M9" s="182">
        <f t="shared" si="2"/>
        <v>0</v>
      </c>
      <c r="N9" s="180">
        <f t="shared" si="3"/>
        <v>0</v>
      </c>
      <c r="O9" s="182">
        <v>0</v>
      </c>
      <c r="P9" s="1178">
        <f t="shared" si="7"/>
        <v>0</v>
      </c>
      <c r="Q9" s="473">
        <v>0</v>
      </c>
      <c r="R9" s="182">
        <f t="shared" si="8"/>
        <v>0</v>
      </c>
      <c r="S9" s="345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 t="shared" si="1"/>
        <v>Véhicules neufs[...]</v>
      </c>
      <c r="B10" s="24" t="str">
        <f t="shared" si="0"/>
        <v>Véhicules neufs</v>
      </c>
      <c r="C10" s="251" t="s">
        <v>42</v>
      </c>
      <c r="D10" s="1178">
        <v>0</v>
      </c>
      <c r="E10" s="1178">
        <f t="shared" si="4"/>
        <v>0</v>
      </c>
      <c r="F10" s="1178">
        <v>0</v>
      </c>
      <c r="G10" s="182">
        <v>0</v>
      </c>
      <c r="H10" s="1178">
        <f t="shared" si="5"/>
        <v>0</v>
      </c>
      <c r="I10" s="1178">
        <v>0</v>
      </c>
      <c r="J10" s="182">
        <v>0</v>
      </c>
      <c r="K10" s="1178">
        <f t="shared" si="6"/>
        <v>0</v>
      </c>
      <c r="L10" s="473">
        <v>0</v>
      </c>
      <c r="M10" s="182">
        <f t="shared" si="2"/>
        <v>0</v>
      </c>
      <c r="N10" s="180">
        <f t="shared" si="3"/>
        <v>0</v>
      </c>
      <c r="O10" s="182">
        <v>0</v>
      </c>
      <c r="P10" s="1178">
        <f t="shared" si="7"/>
        <v>0</v>
      </c>
      <c r="Q10" s="473">
        <v>0</v>
      </c>
      <c r="R10" s="182">
        <f t="shared" si="8"/>
        <v>0</v>
      </c>
      <c r="S10" s="345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 t="shared" si="1"/>
        <v>Véhicules neufs[...]</v>
      </c>
      <c r="B11" s="24" t="str">
        <f t="shared" si="0"/>
        <v>Véhicules neufs</v>
      </c>
      <c r="C11" s="251" t="s">
        <v>42</v>
      </c>
      <c r="D11" s="1178">
        <v>0</v>
      </c>
      <c r="E11" s="1178">
        <f t="shared" si="4"/>
        <v>0</v>
      </c>
      <c r="F11" s="1178">
        <v>0</v>
      </c>
      <c r="G11" s="182">
        <v>0</v>
      </c>
      <c r="H11" s="1178">
        <f t="shared" si="5"/>
        <v>0</v>
      </c>
      <c r="I11" s="1178">
        <v>0</v>
      </c>
      <c r="J11" s="182">
        <v>0</v>
      </c>
      <c r="K11" s="1178">
        <f t="shared" si="6"/>
        <v>0</v>
      </c>
      <c r="L11" s="473">
        <v>0</v>
      </c>
      <c r="M11" s="182">
        <f t="shared" si="2"/>
        <v>0</v>
      </c>
      <c r="N11" s="180">
        <f t="shared" si="3"/>
        <v>0</v>
      </c>
      <c r="O11" s="182">
        <v>0</v>
      </c>
      <c r="P11" s="1178">
        <f t="shared" si="7"/>
        <v>0</v>
      </c>
      <c r="Q11" s="473">
        <v>0</v>
      </c>
      <c r="R11" s="182">
        <f t="shared" si="8"/>
        <v>0</v>
      </c>
      <c r="S11" s="345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178">
        <v>0</v>
      </c>
      <c r="E12" s="1178">
        <f t="shared" si="4"/>
        <v>0</v>
      </c>
      <c r="F12" s="1178">
        <v>0</v>
      </c>
      <c r="G12" s="182">
        <v>0</v>
      </c>
      <c r="H12" s="1178">
        <f t="shared" si="5"/>
        <v>0</v>
      </c>
      <c r="I12" s="1178">
        <v>0</v>
      </c>
      <c r="J12" s="182">
        <v>0</v>
      </c>
      <c r="K12" s="1178">
        <f t="shared" si="6"/>
        <v>0</v>
      </c>
      <c r="L12" s="473">
        <v>0</v>
      </c>
      <c r="M12" s="182">
        <f t="shared" si="2"/>
        <v>0</v>
      </c>
      <c r="N12" s="180">
        <f t="shared" si="3"/>
        <v>0</v>
      </c>
      <c r="O12" s="182">
        <v>0</v>
      </c>
      <c r="P12" s="1178">
        <f t="shared" si="7"/>
        <v>0</v>
      </c>
      <c r="Q12" s="473">
        <v>0</v>
      </c>
      <c r="R12" s="182">
        <f t="shared" si="8"/>
        <v>0</v>
      </c>
      <c r="S12" s="345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56</v>
      </c>
      <c r="E13" s="346">
        <f>IF(D13&lt;=0,0,F13/D13)</f>
        <v>4109.639776902598</v>
      </c>
      <c r="F13" s="347">
        <f>+SUM(F6:F12)</f>
        <v>230139.82750654549</v>
      </c>
      <c r="G13" s="348">
        <f>+SUM(G6:G12)</f>
        <v>0</v>
      </c>
      <c r="H13" s="346">
        <f>IF(G13&lt;=0,0,I13/G13)</f>
        <v>0</v>
      </c>
      <c r="I13" s="347">
        <f>+SUM(I6:I12)</f>
        <v>0</v>
      </c>
      <c r="J13" s="348">
        <f>+SUM(J6:J12)</f>
        <v>46</v>
      </c>
      <c r="K13" s="346">
        <f>IF(J13&lt;=0,0,L13/J13)</f>
        <v>3982.6213043478265</v>
      </c>
      <c r="L13" s="347">
        <f>+SUM(L6:L12)</f>
        <v>183200.58000000002</v>
      </c>
      <c r="M13" s="348">
        <f>+SUM(M6:M12)</f>
        <v>-10</v>
      </c>
      <c r="N13" s="347">
        <f>+SUM(N6:N12)</f>
        <v>-46939.247506545464</v>
      </c>
      <c r="O13" s="348">
        <f>+SUM(O6:O12)</f>
        <v>47</v>
      </c>
      <c r="P13" s="346">
        <f>IF(O13&lt;=0,0,Q13/O13)</f>
        <v>4443.7148936170106</v>
      </c>
      <c r="Q13" s="347">
        <f>+SUM(Q6:Q12)</f>
        <v>208854.59999999951</v>
      </c>
      <c r="R13" s="348">
        <f>+SUM(R6:R12)</f>
        <v>-1</v>
      </c>
      <c r="S13" s="349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25"/>
      <c r="E14" s="1178"/>
      <c r="F14" s="265"/>
      <c r="G14" s="223"/>
      <c r="H14" s="1178"/>
      <c r="I14" s="265"/>
      <c r="J14" s="223"/>
      <c r="K14" s="1178"/>
      <c r="L14" s="265"/>
      <c r="M14" s="235">
        <f>IF(D13=0,0,M13/D13)</f>
        <v>-0.17857142857142858</v>
      </c>
      <c r="N14" s="234">
        <f>IF(F13=0,0,N13/F13)</f>
        <v>-0.20395968839948159</v>
      </c>
      <c r="O14" s="223"/>
      <c r="P14" s="1178"/>
      <c r="Q14" s="265"/>
      <c r="R14" s="235">
        <f>R13/O13</f>
        <v>-2.1276595744680851E-2</v>
      </c>
      <c r="S14" s="262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v>8</v>
      </c>
      <c r="E15" s="184">
        <f>IF(D15=0,0,F15/D15)</f>
        <v>750</v>
      </c>
      <c r="F15" s="177">
        <v>6000</v>
      </c>
      <c r="G15" s="183">
        <v>0</v>
      </c>
      <c r="H15" s="352">
        <f>IF(G15=0,0,I15/G15)</f>
        <v>0</v>
      </c>
      <c r="I15" s="350">
        <v>0</v>
      </c>
      <c r="J15" s="353">
        <v>9</v>
      </c>
      <c r="K15" s="1221">
        <f>IF(J15=0,0,L15/J15)</f>
        <v>2338.0988888888874</v>
      </c>
      <c r="L15" s="1221">
        <v>21042.889999999985</v>
      </c>
      <c r="M15" s="351">
        <f>J15-D15</f>
        <v>1</v>
      </c>
      <c r="N15" s="350">
        <f>L15-F15</f>
        <v>15042.889999999985</v>
      </c>
      <c r="O15" s="353">
        <v>10</v>
      </c>
      <c r="P15" s="1221">
        <f>IF(O15=0,0,Q15/O15)</f>
        <v>1657.5529999999958</v>
      </c>
      <c r="Q15" s="1221">
        <v>16575.529999999959</v>
      </c>
      <c r="R15" s="351">
        <f>J15-O15</f>
        <v>-1</v>
      </c>
      <c r="S15" s="372">
        <f>L15-Q15</f>
        <v>4467.360000000026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25"/>
      <c r="E16" s="1178"/>
      <c r="F16" s="265"/>
      <c r="G16" s="223"/>
      <c r="H16" s="1178"/>
      <c r="I16" s="265"/>
      <c r="J16" s="223"/>
      <c r="K16" s="1178"/>
      <c r="L16" s="180"/>
      <c r="M16" s="235"/>
      <c r="N16" s="234"/>
      <c r="O16" s="223"/>
      <c r="P16" s="1178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178">
        <v>1</v>
      </c>
      <c r="E17" s="1178">
        <f>IF(D17=0,0,F17/D17)</f>
        <v>0</v>
      </c>
      <c r="F17" s="1178">
        <v>0</v>
      </c>
      <c r="G17" s="182">
        <v>0</v>
      </c>
      <c r="H17" s="1178">
        <f>IF(G17=0,0,I17/G17)</f>
        <v>0</v>
      </c>
      <c r="I17" s="1178">
        <v>0</v>
      </c>
      <c r="J17" s="351">
        <v>1</v>
      </c>
      <c r="K17" s="1178">
        <f>IF(J17=0,0,L17/J17)</f>
        <v>2881.0099999999948</v>
      </c>
      <c r="L17" s="180">
        <v>2881.0099999999948</v>
      </c>
      <c r="M17" s="351">
        <f>J17-D17</f>
        <v>0</v>
      </c>
      <c r="N17" s="180">
        <f>L17-F17</f>
        <v>2881.0099999999948</v>
      </c>
      <c r="O17" s="351">
        <v>1</v>
      </c>
      <c r="P17" s="1178">
        <f>IF(O17=0,0,Q17/O17)</f>
        <v>12964.17</v>
      </c>
      <c r="Q17" s="180">
        <v>12964.17</v>
      </c>
      <c r="R17" s="182">
        <f>J17-O17</f>
        <v>0</v>
      </c>
      <c r="S17" s="345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178"/>
      <c r="E19" s="1178"/>
      <c r="F19" s="1178">
        <v>6873.648162545971</v>
      </c>
      <c r="G19" s="182"/>
      <c r="H19" s="1178"/>
      <c r="I19" s="1178">
        <v>0</v>
      </c>
      <c r="J19" s="183"/>
      <c r="K19" s="1178"/>
      <c r="L19" s="180">
        <v>7028</v>
      </c>
      <c r="M19" s="182"/>
      <c r="N19" s="180">
        <f>L19-F19</f>
        <v>154.35183745402901</v>
      </c>
      <c r="O19" s="183"/>
      <c r="P19" s="1178"/>
      <c r="Q19" s="180">
        <v>13539.399999999989</v>
      </c>
      <c r="R19" s="182">
        <f>O19-K19</f>
        <v>0</v>
      </c>
      <c r="S19" s="345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178">
        <v>0</v>
      </c>
      <c r="E21" s="1178">
        <f>IF(D21=0,0,F21/D21)</f>
        <v>0</v>
      </c>
      <c r="F21" s="1178">
        <v>1600</v>
      </c>
      <c r="G21" s="223">
        <v>0</v>
      </c>
      <c r="H21" s="1178">
        <f>IF(G21=0,0,I21/G21)</f>
        <v>0</v>
      </c>
      <c r="I21" s="1178">
        <v>0</v>
      </c>
      <c r="J21" s="182"/>
      <c r="K21" s="1178">
        <f>IF(J13=0,0,L21/(J13+J15))</f>
        <v>0</v>
      </c>
      <c r="L21" s="180">
        <v>0</v>
      </c>
      <c r="M21" s="182"/>
      <c r="N21" s="180">
        <f>L21-F21</f>
        <v>-1600</v>
      </c>
      <c r="O21" s="182"/>
      <c r="P21" s="1178">
        <f>IF(O13=0,0,Q21/(O13+O15))</f>
        <v>2.6315789473684212</v>
      </c>
      <c r="Q21" s="180">
        <v>150</v>
      </c>
      <c r="R21" s="182">
        <f>O21-K21</f>
        <v>0</v>
      </c>
      <c r="S21" s="345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178">
        <v>0</v>
      </c>
      <c r="E22" s="1178">
        <f>IF(D22=0,0,F22/D22)</f>
        <v>0</v>
      </c>
      <c r="F22" s="1178">
        <v>73600</v>
      </c>
      <c r="G22" s="223">
        <v>0</v>
      </c>
      <c r="H22" s="1178">
        <f>IF(G22=0,0,I22/G22)</f>
        <v>0</v>
      </c>
      <c r="I22" s="1178">
        <v>0</v>
      </c>
      <c r="J22" s="182"/>
      <c r="K22" s="1178">
        <f>IF(J13=0,0,L22/(J13+J15))</f>
        <v>1281.1845454545453</v>
      </c>
      <c r="L22" s="180">
        <v>70465.149999999994</v>
      </c>
      <c r="M22" s="182"/>
      <c r="N22" s="180">
        <f>L22-F22</f>
        <v>-3134.8500000000058</v>
      </c>
      <c r="O22" s="182"/>
      <c r="P22" s="1178">
        <f>IF(O13=0,0,Q22/(O13+O15))</f>
        <v>1076.3999999999983</v>
      </c>
      <c r="Q22" s="180">
        <v>61354.799999999901</v>
      </c>
      <c r="R22" s="182">
        <f>O22-K22</f>
        <v>-1281.1845454545453</v>
      </c>
      <c r="S22" s="345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178">
        <v>0</v>
      </c>
      <c r="E23" s="1178">
        <f>IF(D23=0,0,F23/D23)</f>
        <v>0</v>
      </c>
      <c r="F23" s="1178">
        <v>30720</v>
      </c>
      <c r="G23" s="223">
        <v>0</v>
      </c>
      <c r="H23" s="1178">
        <f>IF(G23=0,0,I23/G23)</f>
        <v>0</v>
      </c>
      <c r="I23" s="1178">
        <v>0</v>
      </c>
      <c r="J23" s="182"/>
      <c r="K23" s="1178">
        <f>IF(J13=0,0,L23/(J13+J15))</f>
        <v>762.66854545454555</v>
      </c>
      <c r="L23" s="180">
        <v>41946.770000000004</v>
      </c>
      <c r="M23" s="351"/>
      <c r="N23" s="180">
        <f>L23-F23</f>
        <v>11226.770000000004</v>
      </c>
      <c r="O23" s="182"/>
      <c r="P23" s="1178">
        <f>IF(O13=0,0,Q23/(O13+O15))</f>
        <v>499.19105263157894</v>
      </c>
      <c r="Q23" s="180">
        <v>28453.89</v>
      </c>
      <c r="R23" s="182">
        <f>O23-K23</f>
        <v>-762.66854545454555</v>
      </c>
      <c r="S23" s="345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64</v>
      </c>
      <c r="E24" s="346">
        <f>IF(D24&lt;=0,0,F24/D24)</f>
        <v>1655</v>
      </c>
      <c r="F24" s="347">
        <f>F21+F22+F23</f>
        <v>105920</v>
      </c>
      <c r="G24" s="348">
        <f>+G15+G13</f>
        <v>0</v>
      </c>
      <c r="H24" s="346">
        <f>IF(G24&lt;=0,0,I24/G24)</f>
        <v>0</v>
      </c>
      <c r="I24" s="347">
        <f>I21+I22+I23</f>
        <v>0</v>
      </c>
      <c r="J24" s="348">
        <f>+J15+J13</f>
        <v>55</v>
      </c>
      <c r="K24" s="346">
        <f>IF(J24&lt;=0,0,L24/J24)</f>
        <v>2043.853090909091</v>
      </c>
      <c r="L24" s="347">
        <f>L21+L22+L23</f>
        <v>112411.92</v>
      </c>
      <c r="M24" s="376">
        <f>J24-D24</f>
        <v>-9</v>
      </c>
      <c r="N24" s="347">
        <f>L24-F24</f>
        <v>6491.9199999999983</v>
      </c>
      <c r="O24" s="348">
        <f>+O15+O13</f>
        <v>57</v>
      </c>
      <c r="P24" s="346">
        <f>IF(O24&lt;=0,0,Q24/O24)</f>
        <v>1578.2226315789455</v>
      </c>
      <c r="Q24" s="347">
        <f>Q21+Q22+Q23</f>
        <v>89958.6899999999</v>
      </c>
      <c r="R24" s="356"/>
      <c r="S24" s="349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25"/>
      <c r="E25" s="25"/>
      <c r="F25" s="225"/>
      <c r="G25" s="223"/>
      <c r="H25" s="25"/>
      <c r="I25" s="225"/>
      <c r="J25" s="223"/>
      <c r="K25" s="25"/>
      <c r="L25" s="225"/>
      <c r="M25" s="235"/>
      <c r="N25" s="234">
        <f>IF(N24=0,0,N24/F24)</f>
        <v>6.129078549848941E-2</v>
      </c>
      <c r="O25" s="223"/>
      <c r="P25" s="25"/>
      <c r="Q25" s="225"/>
      <c r="R25" s="224"/>
      <c r="S25" s="262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25"/>
      <c r="E26" s="25"/>
      <c r="F26" s="265"/>
      <c r="G26" s="223"/>
      <c r="H26" s="25"/>
      <c r="I26" s="265"/>
      <c r="J26" s="223"/>
      <c r="K26" s="25"/>
      <c r="L26" s="265"/>
      <c r="M26" s="223"/>
      <c r="N26" s="265"/>
      <c r="O26" s="223"/>
      <c r="P26" s="25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1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-0.13846153846153847</v>
      </c>
      <c r="N28" s="34">
        <f>N27/F27</f>
        <v>-6.4106992389302828E-2</v>
      </c>
      <c r="O28" s="31"/>
      <c r="P28" s="323"/>
      <c r="Q28" s="32"/>
      <c r="R28" s="33">
        <f>R27/O27</f>
        <v>-3.4482758620689655E-2</v>
      </c>
      <c r="S28" s="259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56"/>
      <c r="E29" s="56"/>
      <c r="F29" s="283"/>
      <c r="G29" s="232"/>
      <c r="H29" s="56"/>
      <c r="I29" s="283"/>
      <c r="J29" s="232"/>
      <c r="K29" s="56"/>
      <c r="L29" s="283"/>
      <c r="M29" s="235"/>
      <c r="N29" s="234"/>
      <c r="O29" s="232"/>
      <c r="P29" s="56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25"/>
      <c r="E30" s="457"/>
      <c r="F30" s="225"/>
      <c r="G30" s="223"/>
      <c r="H30" s="457"/>
      <c r="I30" s="225"/>
      <c r="J30" s="223"/>
      <c r="K30" s="457"/>
      <c r="L30" s="265"/>
      <c r="M30" s="223"/>
      <c r="N30" s="265"/>
      <c r="O30" s="223"/>
      <c r="P30" s="457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453">
        <f>F31/(F13+F15)</f>
        <v>0.29347228752478682</v>
      </c>
      <c r="E31" s="37">
        <f t="shared" ref="E31:E40" si="10">F31/D$24</f>
        <v>1082.8202399071013</v>
      </c>
      <c r="F31" s="1178">
        <v>69300.495354054481</v>
      </c>
      <c r="G31" s="293"/>
      <c r="H31" s="37" t="e">
        <f t="shared" ref="H31:H40" si="11">I31/G$24</f>
        <v>#DIV/0!</v>
      </c>
      <c r="I31" s="1178">
        <v>0</v>
      </c>
      <c r="J31" s="293">
        <f>L31/(L13+L15)</f>
        <v>0.28433055901371046</v>
      </c>
      <c r="K31" s="37">
        <f t="shared" ref="K31:K40" si="12">IF(L31=0,0,L31/J$24)</f>
        <v>1055.8665454545455</v>
      </c>
      <c r="L31" s="1178">
        <v>58072.66</v>
      </c>
      <c r="M31" s="223"/>
      <c r="N31" s="225">
        <f t="shared" ref="N31:N53" si="13">L31-F31</f>
        <v>-11227.835354054478</v>
      </c>
      <c r="O31" s="293">
        <f>Q31/(Q13+Q15+Q17)</f>
        <v>0.28095017372479181</v>
      </c>
      <c r="P31" s="37">
        <f t="shared" ref="P31:P40" si="14">IF(Q31=0,0,Q31/O$24)</f>
        <v>1175.0336842105262</v>
      </c>
      <c r="Q31" s="180">
        <v>66976.92</v>
      </c>
      <c r="R31" s="223"/>
      <c r="S31" s="197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10"/>
        <v>455.125</v>
      </c>
      <c r="F32" s="177">
        <v>29128</v>
      </c>
      <c r="G32" s="320"/>
      <c r="H32" s="188" t="e">
        <f t="shared" si="11"/>
        <v>#DIV/0!</v>
      </c>
      <c r="I32" s="177">
        <v>0</v>
      </c>
      <c r="J32" s="320">
        <f>L32/L24</f>
        <v>0.2777695639394826</v>
      </c>
      <c r="K32" s="358">
        <f t="shared" si="12"/>
        <v>567.7201818181818</v>
      </c>
      <c r="L32" s="177">
        <v>31224.61</v>
      </c>
      <c r="M32" s="278"/>
      <c r="N32" s="279">
        <f t="shared" si="13"/>
        <v>2096.6100000000006</v>
      </c>
      <c r="O32" s="320">
        <f>Q32/Q24</f>
        <v>0.36050158133694515</v>
      </c>
      <c r="P32" s="358">
        <f t="shared" si="14"/>
        <v>568.95175438596493</v>
      </c>
      <c r="Q32" s="177">
        <v>32430.25</v>
      </c>
      <c r="R32" s="278"/>
      <c r="S32" s="200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36"/>
      <c r="E33" s="37">
        <f t="shared" si="10"/>
        <v>130</v>
      </c>
      <c r="F33" s="1178">
        <v>8320</v>
      </c>
      <c r="G33" s="269"/>
      <c r="H33" s="37" t="e">
        <f t="shared" si="11"/>
        <v>#DIV/0!</v>
      </c>
      <c r="I33" s="1178">
        <v>0</v>
      </c>
      <c r="J33" s="223"/>
      <c r="K33" s="37">
        <f t="shared" si="12"/>
        <v>208.6721818181818</v>
      </c>
      <c r="L33" s="1178">
        <v>11476.97</v>
      </c>
      <c r="M33" s="223"/>
      <c r="N33" s="225">
        <f t="shared" si="13"/>
        <v>3156.9699999999993</v>
      </c>
      <c r="O33" s="223"/>
      <c r="P33" s="37">
        <f t="shared" si="14"/>
        <v>196.59280701754386</v>
      </c>
      <c r="Q33" s="180">
        <v>11205.79</v>
      </c>
      <c r="R33" s="223"/>
      <c r="S33" s="197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36"/>
      <c r="E34" s="37">
        <f t="shared" si="10"/>
        <v>37</v>
      </c>
      <c r="F34" s="1178">
        <v>2368</v>
      </c>
      <c r="G34" s="269"/>
      <c r="H34" s="37" t="e">
        <f t="shared" si="11"/>
        <v>#DIV/0!</v>
      </c>
      <c r="I34" s="1178">
        <v>0</v>
      </c>
      <c r="J34" s="223"/>
      <c r="K34" s="37">
        <f t="shared" si="12"/>
        <v>23.322181818181818</v>
      </c>
      <c r="L34" s="1178">
        <v>1282.72</v>
      </c>
      <c r="M34" s="223"/>
      <c r="N34" s="225">
        <f t="shared" si="13"/>
        <v>-1085.28</v>
      </c>
      <c r="O34" s="223"/>
      <c r="P34" s="37">
        <f t="shared" si="14"/>
        <v>48.875263157894736</v>
      </c>
      <c r="Q34" s="180">
        <v>2785.89</v>
      </c>
      <c r="R34" s="223"/>
      <c r="S34" s="197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0"/>
        <v>62.03125</v>
      </c>
      <c r="F35" s="177">
        <v>3970</v>
      </c>
      <c r="G35" s="277"/>
      <c r="H35" s="188" t="e">
        <f t="shared" si="11"/>
        <v>#DIV/0!</v>
      </c>
      <c r="I35" s="177">
        <v>0</v>
      </c>
      <c r="J35" s="278"/>
      <c r="K35" s="358">
        <f t="shared" si="12"/>
        <v>144.44399999999999</v>
      </c>
      <c r="L35" s="177">
        <v>7944.42</v>
      </c>
      <c r="M35" s="278"/>
      <c r="N35" s="279">
        <f t="shared" si="13"/>
        <v>3974.42</v>
      </c>
      <c r="O35" s="278"/>
      <c r="P35" s="358">
        <f t="shared" si="14"/>
        <v>72.180877192982464</v>
      </c>
      <c r="Q35" s="180">
        <v>4114.3100000000004</v>
      </c>
      <c r="R35" s="278"/>
      <c r="S35" s="200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36"/>
      <c r="E36" s="37">
        <f t="shared" si="10"/>
        <v>513.97058823529414</v>
      </c>
      <c r="F36" s="1178">
        <v>32894.117647058825</v>
      </c>
      <c r="G36" s="269"/>
      <c r="H36" s="37" t="e">
        <f t="shared" si="11"/>
        <v>#DIV/0!</v>
      </c>
      <c r="I36" s="1178">
        <v>0</v>
      </c>
      <c r="J36" s="223"/>
      <c r="K36" s="37">
        <f t="shared" si="12"/>
        <v>617.82181818181823</v>
      </c>
      <c r="L36" s="546">
        <v>33980.200000000004</v>
      </c>
      <c r="M36" s="25"/>
      <c r="N36" s="225">
        <f t="shared" si="13"/>
        <v>1086.0823529411791</v>
      </c>
      <c r="O36" s="223"/>
      <c r="P36" s="37">
        <f t="shared" si="14"/>
        <v>755.88210526315788</v>
      </c>
      <c r="Q36" s="374">
        <v>43085.279999999999</v>
      </c>
      <c r="R36" s="223"/>
      <c r="S36" s="197">
        <f t="shared" si="15"/>
        <v>-9105.0799999999945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 t="shared" si="1"/>
        <v>Véhicules neufsIntérêt de gros</v>
      </c>
      <c r="B37" s="24" t="str">
        <f t="shared" si="0"/>
        <v>Véhicules neufs</v>
      </c>
      <c r="C37" s="251" t="s">
        <v>106</v>
      </c>
      <c r="D37" s="36"/>
      <c r="E37" s="37">
        <f t="shared" si="10"/>
        <v>1249.962617087351</v>
      </c>
      <c r="F37" s="1178">
        <v>79997.607493590462</v>
      </c>
      <c r="G37" s="269"/>
      <c r="H37" s="37" t="e">
        <f t="shared" si="11"/>
        <v>#DIV/0!</v>
      </c>
      <c r="I37" s="1178">
        <v>0</v>
      </c>
      <c r="J37" s="223"/>
      <c r="K37" s="37">
        <f t="shared" si="12"/>
        <v>1207.6954545454546</v>
      </c>
      <c r="L37" s="547">
        <v>66423.25</v>
      </c>
      <c r="M37" s="25"/>
      <c r="N37" s="225">
        <f t="shared" si="13"/>
        <v>-13574.357493590462</v>
      </c>
      <c r="O37" s="223"/>
      <c r="P37" s="37">
        <f t="shared" si="14"/>
        <v>1587.4475438596487</v>
      </c>
      <c r="Q37" s="180">
        <v>90484.50999999998</v>
      </c>
      <c r="R37" s="223"/>
      <c r="S37" s="197">
        <f>L37-Q37</f>
        <v>-24061.25999999998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 t="shared" si="1"/>
        <v>Véhicules neufs[...]</v>
      </c>
      <c r="B38" s="24" t="str">
        <f t="shared" si="0"/>
        <v>Véhicules neufs</v>
      </c>
      <c r="C38" s="251" t="s">
        <v>42</v>
      </c>
      <c r="D38" s="36"/>
      <c r="E38" s="37">
        <f t="shared" si="10"/>
        <v>0</v>
      </c>
      <c r="F38" s="1178">
        <v>0</v>
      </c>
      <c r="G38" s="269"/>
      <c r="H38" s="37" t="e">
        <f t="shared" si="11"/>
        <v>#DIV/0!</v>
      </c>
      <c r="I38" s="1178">
        <v>0</v>
      </c>
      <c r="J38" s="223"/>
      <c r="K38" s="37">
        <f t="shared" si="12"/>
        <v>0</v>
      </c>
      <c r="L38" s="547">
        <v>0</v>
      </c>
      <c r="M38" s="25"/>
      <c r="N38" s="225">
        <f t="shared" si="13"/>
        <v>0</v>
      </c>
      <c r="O38" s="223"/>
      <c r="P38" s="37">
        <f t="shared" si="14"/>
        <v>0</v>
      </c>
      <c r="Q38" s="180"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 t="shared" si="1"/>
        <v>Véhicules neufs[...]</v>
      </c>
      <c r="B39" s="24" t="str">
        <f t="shared" si="0"/>
        <v>Véhicules neufs</v>
      </c>
      <c r="C39" s="251" t="s">
        <v>42</v>
      </c>
      <c r="D39" s="36"/>
      <c r="E39" s="37">
        <f t="shared" si="10"/>
        <v>0</v>
      </c>
      <c r="F39" s="1178">
        <v>0</v>
      </c>
      <c r="G39" s="269"/>
      <c r="H39" s="37" t="e">
        <f t="shared" si="11"/>
        <v>#DIV/0!</v>
      </c>
      <c r="I39" s="1178">
        <v>0</v>
      </c>
      <c r="J39" s="223"/>
      <c r="K39" s="37">
        <f t="shared" si="12"/>
        <v>0</v>
      </c>
      <c r="L39" s="547">
        <v>0</v>
      </c>
      <c r="M39" s="25"/>
      <c r="N39" s="225">
        <f t="shared" si="13"/>
        <v>0</v>
      </c>
      <c r="O39" s="223"/>
      <c r="P39" s="37">
        <f t="shared" si="14"/>
        <v>0</v>
      </c>
      <c r="Q39" s="180"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36"/>
      <c r="E40" s="37">
        <f t="shared" si="10"/>
        <v>0</v>
      </c>
      <c r="F40" s="1178">
        <v>0</v>
      </c>
      <c r="G40" s="269"/>
      <c r="H40" s="37" t="e">
        <f t="shared" si="11"/>
        <v>#DIV/0!</v>
      </c>
      <c r="I40" s="1178">
        <v>0</v>
      </c>
      <c r="J40" s="223"/>
      <c r="K40" s="37">
        <f t="shared" si="12"/>
        <v>0</v>
      </c>
      <c r="L40" s="548">
        <v>0</v>
      </c>
      <c r="M40" s="25"/>
      <c r="N40" s="225">
        <f t="shared" si="13"/>
        <v>0</v>
      </c>
      <c r="O40" s="223"/>
      <c r="P40" s="37">
        <f t="shared" si="14"/>
        <v>0</v>
      </c>
      <c r="Q40" s="180"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5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4">
        <f>SUM(Q31:Q40)</f>
        <v>251082.94999999998</v>
      </c>
      <c r="R41" s="44"/>
      <c r="S41" s="285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25"/>
      <c r="E42" s="25"/>
      <c r="F42" s="1178">
        <v>37718.770689655175</v>
      </c>
      <c r="G42" s="223"/>
      <c r="H42" s="25"/>
      <c r="I42" s="1178">
        <v>0</v>
      </c>
      <c r="J42" s="223"/>
      <c r="K42" s="25"/>
      <c r="L42" s="180">
        <v>32911.379999999997</v>
      </c>
      <c r="M42" s="223"/>
      <c r="N42" s="225">
        <f t="shared" si="13"/>
        <v>-4807.390689655178</v>
      </c>
      <c r="O42" s="223"/>
      <c r="P42" s="25"/>
      <c r="Q42" s="180">
        <v>36441.350000000006</v>
      </c>
      <c r="R42" s="223"/>
      <c r="S42" s="197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36"/>
      <c r="E43" s="25"/>
      <c r="F43" s="177">
        <v>29471.982758620692</v>
      </c>
      <c r="G43" s="269"/>
      <c r="H43" s="25"/>
      <c r="I43" s="177">
        <v>0</v>
      </c>
      <c r="J43" s="223"/>
      <c r="K43" s="25"/>
      <c r="L43" s="180">
        <v>27423.21</v>
      </c>
      <c r="M43" s="223"/>
      <c r="N43" s="225">
        <f t="shared" si="13"/>
        <v>-2048.7727586206929</v>
      </c>
      <c r="O43" s="223"/>
      <c r="P43" s="25"/>
      <c r="Q43" s="180">
        <v>26246.670000000002</v>
      </c>
      <c r="R43" s="223"/>
      <c r="S43" s="197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178">
        <v>1026</v>
      </c>
      <c r="G44" s="272"/>
      <c r="H44" s="271"/>
      <c r="I44" s="1178">
        <v>0</v>
      </c>
      <c r="J44" s="273"/>
      <c r="K44" s="271"/>
      <c r="L44" s="181">
        <v>1026</v>
      </c>
      <c r="M44" s="273"/>
      <c r="N44" s="274">
        <f t="shared" si="13"/>
        <v>0</v>
      </c>
      <c r="O44" s="273"/>
      <c r="P44" s="271"/>
      <c r="Q44" s="181">
        <v>1026</v>
      </c>
      <c r="R44" s="273"/>
      <c r="S44" s="199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36"/>
      <c r="E45" s="25"/>
      <c r="F45" s="1178">
        <v>0</v>
      </c>
      <c r="G45" s="269"/>
      <c r="H45" s="25"/>
      <c r="I45" s="1178">
        <v>0</v>
      </c>
      <c r="J45" s="223"/>
      <c r="K45" s="25"/>
      <c r="L45" s="180">
        <v>0</v>
      </c>
      <c r="M45" s="223"/>
      <c r="N45" s="225">
        <f t="shared" si="13"/>
        <v>0</v>
      </c>
      <c r="O45" s="223"/>
      <c r="P45" s="25"/>
      <c r="Q45" s="180">
        <v>0</v>
      </c>
      <c r="R45" s="223"/>
      <c r="S45" s="197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 t="shared" si="1"/>
        <v>Véhicules neufs[...]</v>
      </c>
      <c r="B46" s="24" t="str">
        <f t="shared" si="0"/>
        <v>Véhicules neufs</v>
      </c>
      <c r="C46" s="267" t="s">
        <v>42</v>
      </c>
      <c r="D46" s="36"/>
      <c r="E46" s="25"/>
      <c r="F46" s="1178">
        <v>0</v>
      </c>
      <c r="G46" s="269"/>
      <c r="H46" s="25"/>
      <c r="I46" s="1178">
        <v>0</v>
      </c>
      <c r="J46" s="223"/>
      <c r="K46" s="25"/>
      <c r="L46" s="180">
        <v>0</v>
      </c>
      <c r="M46" s="223"/>
      <c r="N46" s="225">
        <f t="shared" si="13"/>
        <v>0</v>
      </c>
      <c r="O46" s="223"/>
      <c r="P46" s="25"/>
      <c r="Q46" s="180"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 t="shared" si="1"/>
        <v>Véhicules neufs[...]</v>
      </c>
      <c r="B47" s="24" t="str">
        <f t="shared" si="0"/>
        <v>Véhicules neufs</v>
      </c>
      <c r="C47" s="267" t="s">
        <v>42</v>
      </c>
      <c r="D47" s="36"/>
      <c r="E47" s="25"/>
      <c r="F47" s="1178">
        <v>0</v>
      </c>
      <c r="G47" s="269"/>
      <c r="H47" s="25"/>
      <c r="I47" s="1178">
        <v>0</v>
      </c>
      <c r="J47" s="223"/>
      <c r="K47" s="25"/>
      <c r="L47" s="180">
        <v>0</v>
      </c>
      <c r="M47" s="223"/>
      <c r="N47" s="225">
        <f t="shared" si="13"/>
        <v>0</v>
      </c>
      <c r="O47" s="223"/>
      <c r="P47" s="25"/>
      <c r="Q47" s="180"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 t="shared" si="1"/>
        <v>Véhicules neufs[...]</v>
      </c>
      <c r="B48" s="24" t="str">
        <f t="shared" si="0"/>
        <v>Véhicules neufs</v>
      </c>
      <c r="C48" s="267" t="s">
        <v>42</v>
      </c>
      <c r="D48" s="36"/>
      <c r="E48" s="25"/>
      <c r="F48" s="1178">
        <v>0</v>
      </c>
      <c r="G48" s="269"/>
      <c r="H48" s="25"/>
      <c r="I48" s="1178">
        <v>0</v>
      </c>
      <c r="J48" s="223"/>
      <c r="K48" s="25"/>
      <c r="L48" s="180">
        <v>0</v>
      </c>
      <c r="M48" s="223"/>
      <c r="N48" s="225">
        <f t="shared" si="13"/>
        <v>0</v>
      </c>
      <c r="O48" s="223"/>
      <c r="P48" s="25"/>
      <c r="Q48" s="180"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36"/>
      <c r="E49" s="25"/>
      <c r="F49" s="177">
        <v>20141.888905682088</v>
      </c>
      <c r="G49" s="269"/>
      <c r="H49" s="25"/>
      <c r="I49" s="177">
        <v>0</v>
      </c>
      <c r="J49" s="223"/>
      <c r="K49" s="25"/>
      <c r="L49" s="177">
        <v>23215.439999999999</v>
      </c>
      <c r="M49" s="223"/>
      <c r="N49" s="225">
        <f t="shared" si="13"/>
        <v>3073.5510943179106</v>
      </c>
      <c r="O49" s="223"/>
      <c r="P49" s="25"/>
      <c r="Q49" s="177">
        <v>20599.63</v>
      </c>
      <c r="R49" s="223"/>
      <c r="S49" s="197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178">
        <v>24091.067029958063</v>
      </c>
      <c r="G50" s="272"/>
      <c r="H50" s="271"/>
      <c r="I50" s="1178">
        <v>0</v>
      </c>
      <c r="J50" s="273"/>
      <c r="K50" s="271"/>
      <c r="L50" s="180">
        <v>21470.39</v>
      </c>
      <c r="M50" s="273"/>
      <c r="N50" s="274">
        <f t="shared" si="13"/>
        <v>-2620.6770299580639</v>
      </c>
      <c r="O50" s="273"/>
      <c r="P50" s="271"/>
      <c r="Q50" s="180">
        <v>19314.43</v>
      </c>
      <c r="R50" s="273"/>
      <c r="S50" s="199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36"/>
      <c r="E51" s="25"/>
      <c r="F51" s="1178">
        <v>13014.418769744027</v>
      </c>
      <c r="G51" s="269"/>
      <c r="H51" s="25"/>
      <c r="I51" s="1178">
        <v>0</v>
      </c>
      <c r="J51" s="223"/>
      <c r="K51" s="25"/>
      <c r="L51" s="180">
        <v>14008.890000000001</v>
      </c>
      <c r="M51" s="223"/>
      <c r="N51" s="225">
        <f t="shared" si="13"/>
        <v>994.47123025597466</v>
      </c>
      <c r="O51" s="223"/>
      <c r="P51" s="25"/>
      <c r="Q51" s="180">
        <v>13525.830000000002</v>
      </c>
      <c r="R51" s="223"/>
      <c r="S51" s="197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36"/>
      <c r="E52" s="25"/>
      <c r="F52" s="1178">
        <v>2788.8040220880057</v>
      </c>
      <c r="G52" s="269"/>
      <c r="H52" s="25"/>
      <c r="I52" s="1178">
        <v>0</v>
      </c>
      <c r="J52" s="223"/>
      <c r="K52" s="25"/>
      <c r="L52" s="180">
        <v>2798.73</v>
      </c>
      <c r="M52" s="223"/>
      <c r="N52" s="225">
        <f t="shared" si="13"/>
        <v>9.9259779119943232</v>
      </c>
      <c r="O52" s="223"/>
      <c r="P52" s="25"/>
      <c r="Q52" s="180">
        <v>226.83</v>
      </c>
      <c r="R52" s="223"/>
      <c r="S52" s="197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178">
        <v>0</v>
      </c>
      <c r="G53" s="277"/>
      <c r="H53" s="276"/>
      <c r="I53" s="1178">
        <v>0</v>
      </c>
      <c r="J53" s="278"/>
      <c r="K53" s="276"/>
      <c r="L53" s="180">
        <v>0</v>
      </c>
      <c r="M53" s="278"/>
      <c r="N53" s="279">
        <f t="shared" si="13"/>
        <v>0</v>
      </c>
      <c r="O53" s="278"/>
      <c r="P53" s="276"/>
      <c r="Q53" s="180">
        <v>0</v>
      </c>
      <c r="R53" s="278"/>
      <c r="S53" s="200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5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36"/>
      <c r="E55" s="25"/>
      <c r="F55" s="1178">
        <v>0</v>
      </c>
      <c r="G55" s="269"/>
      <c r="H55" s="25"/>
      <c r="I55" s="1178">
        <v>0</v>
      </c>
      <c r="J55" s="223"/>
      <c r="K55" s="25"/>
      <c r="L55" s="180">
        <v>0</v>
      </c>
      <c r="M55" s="223"/>
      <c r="N55" s="225">
        <f t="shared" ref="N55:N71" si="16">L55-F55</f>
        <v>0</v>
      </c>
      <c r="O55" s="223"/>
      <c r="P55" s="25"/>
      <c r="Q55" s="180">
        <v>0</v>
      </c>
      <c r="R55" s="223"/>
      <c r="S55" s="197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36"/>
      <c r="E56" s="25"/>
      <c r="F56" s="1178">
        <v>0</v>
      </c>
      <c r="G56" s="269"/>
      <c r="H56" s="25"/>
      <c r="I56" s="1178">
        <v>0</v>
      </c>
      <c r="J56" s="223"/>
      <c r="K56" s="25"/>
      <c r="L56" s="180">
        <v>0</v>
      </c>
      <c r="M56" s="223"/>
      <c r="N56" s="225">
        <f t="shared" si="16"/>
        <v>0</v>
      </c>
      <c r="O56" s="223"/>
      <c r="P56" s="25"/>
      <c r="Q56" s="180">
        <v>0</v>
      </c>
      <c r="R56" s="223"/>
      <c r="S56" s="197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v>19862.799999999996</v>
      </c>
      <c r="G57" s="277"/>
      <c r="H57" s="276"/>
      <c r="I57" s="177">
        <v>0</v>
      </c>
      <c r="J57" s="278"/>
      <c r="K57" s="276"/>
      <c r="L57" s="177">
        <v>24686.71</v>
      </c>
      <c r="M57" s="278"/>
      <c r="N57" s="279">
        <f t="shared" si="16"/>
        <v>4823.9100000000035</v>
      </c>
      <c r="O57" s="278"/>
      <c r="P57" s="276"/>
      <c r="Q57" s="177">
        <v>23543.73</v>
      </c>
      <c r="R57" s="278"/>
      <c r="S57" s="200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36"/>
      <c r="E58" s="25"/>
      <c r="F58" s="1178">
        <v>14634.900000000001</v>
      </c>
      <c r="G58" s="269"/>
      <c r="H58" s="25"/>
      <c r="I58" s="1178">
        <v>0</v>
      </c>
      <c r="J58" s="223"/>
      <c r="K58" s="25"/>
      <c r="L58" s="180">
        <v>13593.06</v>
      </c>
      <c r="M58" s="223"/>
      <c r="N58" s="225">
        <f t="shared" si="16"/>
        <v>-1041.840000000002</v>
      </c>
      <c r="O58" s="223"/>
      <c r="P58" s="25"/>
      <c r="Q58" s="180">
        <v>13298.619999999999</v>
      </c>
      <c r="R58" s="223"/>
      <c r="S58" s="197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36"/>
      <c r="E59" s="25"/>
      <c r="F59" s="1178">
        <v>2475</v>
      </c>
      <c r="G59" s="269"/>
      <c r="H59" s="25"/>
      <c r="I59" s="1178">
        <v>0</v>
      </c>
      <c r="J59" s="223"/>
      <c r="K59" s="25"/>
      <c r="L59" s="180">
        <v>1015.2199999999998</v>
      </c>
      <c r="M59" s="223"/>
      <c r="N59" s="225">
        <f t="shared" si="16"/>
        <v>-1459.7800000000002</v>
      </c>
      <c r="O59" s="223"/>
      <c r="P59" s="25"/>
      <c r="Q59" s="180">
        <v>5324.3600000000006</v>
      </c>
      <c r="R59" s="223"/>
      <c r="S59" s="197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v>9944.1</v>
      </c>
      <c r="G60" s="277"/>
      <c r="H60" s="276"/>
      <c r="I60" s="177">
        <v>0</v>
      </c>
      <c r="J60" s="278"/>
      <c r="K60" s="276"/>
      <c r="L60" s="177">
        <v>8959.73</v>
      </c>
      <c r="M60" s="278"/>
      <c r="N60" s="279">
        <f t="shared" si="16"/>
        <v>-984.3700000000008</v>
      </c>
      <c r="O60" s="278"/>
      <c r="P60" s="276"/>
      <c r="Q60" s="177">
        <v>10382.83</v>
      </c>
      <c r="R60" s="278"/>
      <c r="S60" s="200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36"/>
      <c r="E61" s="25"/>
      <c r="F61" s="1178">
        <v>120</v>
      </c>
      <c r="G61" s="269"/>
      <c r="H61" s="25"/>
      <c r="I61" s="1178">
        <v>0</v>
      </c>
      <c r="J61" s="223"/>
      <c r="K61" s="25"/>
      <c r="L61" s="180">
        <v>174.81</v>
      </c>
      <c r="M61" s="223"/>
      <c r="N61" s="225">
        <f t="shared" si="16"/>
        <v>54.81</v>
      </c>
      <c r="O61" s="223"/>
      <c r="P61" s="25"/>
      <c r="Q61" s="180">
        <v>86.78</v>
      </c>
      <c r="R61" s="223"/>
      <c r="S61" s="197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36"/>
      <c r="E62" s="25"/>
      <c r="F62" s="1178">
        <v>90</v>
      </c>
      <c r="G62" s="269"/>
      <c r="H62" s="25"/>
      <c r="I62" s="1178">
        <v>0</v>
      </c>
      <c r="J62" s="223"/>
      <c r="K62" s="25"/>
      <c r="L62" s="180">
        <v>0</v>
      </c>
      <c r="M62" s="223"/>
      <c r="N62" s="225">
        <f t="shared" si="16"/>
        <v>-90</v>
      </c>
      <c r="O62" s="223"/>
      <c r="P62" s="25"/>
      <c r="Q62" s="180">
        <v>476.58000000000004</v>
      </c>
      <c r="R62" s="223"/>
      <c r="S62" s="197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36"/>
      <c r="E63" s="25"/>
      <c r="F63" s="1178">
        <v>2126.25</v>
      </c>
      <c r="G63" s="269"/>
      <c r="H63" s="25"/>
      <c r="I63" s="1178">
        <v>0</v>
      </c>
      <c r="J63" s="223"/>
      <c r="K63" s="25"/>
      <c r="L63" s="473">
        <v>1729.13</v>
      </c>
      <c r="M63" s="223"/>
      <c r="N63" s="225">
        <f t="shared" si="16"/>
        <v>-397.11999999999989</v>
      </c>
      <c r="O63" s="223"/>
      <c r="P63" s="25"/>
      <c r="Q63" s="473">
        <v>1972.3799999999999</v>
      </c>
      <c r="R63" s="223"/>
      <c r="S63" s="197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36"/>
      <c r="E64" s="25"/>
      <c r="F64" s="1178">
        <v>631.20000000000005</v>
      </c>
      <c r="G64" s="269"/>
      <c r="H64" s="25"/>
      <c r="I64" s="1178">
        <v>0</v>
      </c>
      <c r="J64" s="223"/>
      <c r="K64" s="25"/>
      <c r="L64" s="180">
        <v>566.45000000000005</v>
      </c>
      <c r="M64" s="223"/>
      <c r="N64" s="225">
        <f t="shared" si="16"/>
        <v>-64.75</v>
      </c>
      <c r="O64" s="223"/>
      <c r="P64" s="25"/>
      <c r="Q64" s="180">
        <v>614.98</v>
      </c>
      <c r="R64" s="223"/>
      <c r="S64" s="197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36"/>
      <c r="E65" s="25"/>
      <c r="F65" s="1178">
        <v>607.5</v>
      </c>
      <c r="G65" s="269"/>
      <c r="H65" s="25"/>
      <c r="I65" s="1178">
        <v>0</v>
      </c>
      <c r="J65" s="223"/>
      <c r="K65" s="25"/>
      <c r="L65" s="180">
        <v>306.21999999999997</v>
      </c>
      <c r="M65" s="223"/>
      <c r="N65" s="225">
        <f t="shared" si="16"/>
        <v>-301.28000000000003</v>
      </c>
      <c r="O65" s="223"/>
      <c r="P65" s="25"/>
      <c r="Q65" s="180">
        <v>442.44</v>
      </c>
      <c r="R65" s="223"/>
      <c r="S65" s="197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36"/>
      <c r="E66" s="25"/>
      <c r="F66" s="1178">
        <v>2350.3500000000004</v>
      </c>
      <c r="G66" s="269"/>
      <c r="H66" s="25"/>
      <c r="I66" s="1178">
        <v>0</v>
      </c>
      <c r="J66" s="223"/>
      <c r="K66" s="25"/>
      <c r="L66" s="180">
        <v>3148.5700000000006</v>
      </c>
      <c r="M66" s="223"/>
      <c r="N66" s="225">
        <f t="shared" si="16"/>
        <v>798.22000000000025</v>
      </c>
      <c r="O66" s="223"/>
      <c r="P66" s="25"/>
      <c r="Q66" s="180">
        <v>2134.3500000000004</v>
      </c>
      <c r="R66" s="223"/>
      <c r="S66" s="197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 t="shared" si="1"/>
        <v>Véhicules neufsFormation</v>
      </c>
      <c r="B67" s="24" t="str">
        <f t="shared" si="0"/>
        <v>Véhicules neufs</v>
      </c>
      <c r="C67" s="251" t="s">
        <v>130</v>
      </c>
      <c r="D67" s="36"/>
      <c r="E67" s="25"/>
      <c r="F67" s="1178">
        <v>1674.5505299999995</v>
      </c>
      <c r="G67" s="269"/>
      <c r="H67" s="25"/>
      <c r="I67" s="1178">
        <v>0</v>
      </c>
      <c r="J67" s="223"/>
      <c r="K67" s="25"/>
      <c r="L67" s="225">
        <v>1070.4000000000001</v>
      </c>
      <c r="M67" s="223"/>
      <c r="N67" s="225">
        <f t="shared" si="16"/>
        <v>-604.15052999999943</v>
      </c>
      <c r="O67" s="223"/>
      <c r="P67" s="25"/>
      <c r="Q67" s="180">
        <v>2239.9</v>
      </c>
      <c r="R67" s="223"/>
      <c r="S67" s="197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 t="shared" si="1"/>
        <v>Véhicules neufsFrais bancaires</v>
      </c>
      <c r="B68" s="24" t="str">
        <f t="shared" si="0"/>
        <v>Véhicules neufs</v>
      </c>
      <c r="C68" s="251" t="s">
        <v>131</v>
      </c>
      <c r="D68" s="36"/>
      <c r="E68" s="25"/>
      <c r="F68" s="1178">
        <v>8952.2997121422923</v>
      </c>
      <c r="G68" s="269"/>
      <c r="H68" s="25"/>
      <c r="I68" s="1178">
        <v>0</v>
      </c>
      <c r="J68" s="223"/>
      <c r="K68" s="25"/>
      <c r="L68" s="473">
        <v>7368.4000000000005</v>
      </c>
      <c r="M68" s="223"/>
      <c r="N68" s="225">
        <f t="shared" si="16"/>
        <v>-1583.8997121422917</v>
      </c>
      <c r="O68" s="223"/>
      <c r="P68" s="25"/>
      <c r="Q68" s="180">
        <v>7656.22</v>
      </c>
      <c r="R68" s="223"/>
      <c r="S68" s="197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 t="shared" si="1"/>
        <v>Véhicules neufs[...]</v>
      </c>
      <c r="B69" s="24" t="str">
        <f t="shared" si="0"/>
        <v>Véhicules neufs</v>
      </c>
      <c r="C69" s="251" t="s">
        <v>42</v>
      </c>
      <c r="D69" s="36"/>
      <c r="E69" s="25"/>
      <c r="F69" s="1178">
        <v>0</v>
      </c>
      <c r="G69" s="269"/>
      <c r="H69" s="25"/>
      <c r="I69" s="1178">
        <v>0</v>
      </c>
      <c r="J69" s="223"/>
      <c r="K69" s="25"/>
      <c r="L69" s="180">
        <v>0</v>
      </c>
      <c r="M69" s="223"/>
      <c r="N69" s="225">
        <f t="shared" si="16"/>
        <v>0</v>
      </c>
      <c r="O69" s="223"/>
      <c r="P69" s="25"/>
      <c r="Q69" s="180"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36"/>
      <c r="E70" s="25"/>
      <c r="F70" s="1178">
        <v>0</v>
      </c>
      <c r="G70" s="269"/>
      <c r="H70" s="25"/>
      <c r="I70" s="1178">
        <v>0</v>
      </c>
      <c r="J70" s="223"/>
      <c r="K70" s="25"/>
      <c r="L70" s="180">
        <v>0</v>
      </c>
      <c r="M70" s="223"/>
      <c r="N70" s="225">
        <f t="shared" si="16"/>
        <v>0</v>
      </c>
      <c r="O70" s="223"/>
      <c r="P70" s="25"/>
      <c r="Q70" s="180">
        <v>0</v>
      </c>
      <c r="R70" s="223"/>
      <c r="S70" s="197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36"/>
      <c r="E71" s="25"/>
      <c r="F71" s="1178">
        <v>0</v>
      </c>
      <c r="G71" s="269"/>
      <c r="H71" s="25"/>
      <c r="I71" s="1178">
        <v>0</v>
      </c>
      <c r="J71" s="223"/>
      <c r="K71" s="25"/>
      <c r="L71" s="180">
        <v>0</v>
      </c>
      <c r="M71" s="223"/>
      <c r="N71" s="225">
        <f t="shared" si="16"/>
        <v>0</v>
      </c>
      <c r="O71" s="223"/>
      <c r="P71" s="25"/>
      <c r="Q71" s="180">
        <v>0</v>
      </c>
      <c r="R71" s="223"/>
      <c r="S71" s="197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5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1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36"/>
      <c r="E75" s="25"/>
      <c r="F75" s="1178">
        <v>102892.11801818182</v>
      </c>
      <c r="G75" s="269"/>
      <c r="H75" s="25"/>
      <c r="I75" s="1178">
        <v>0</v>
      </c>
      <c r="J75" s="223"/>
      <c r="K75" s="25"/>
      <c r="L75" s="473">
        <v>75981.91</v>
      </c>
      <c r="M75" s="223"/>
      <c r="N75" s="225">
        <f t="shared" si="18"/>
        <v>-26910.208018181816</v>
      </c>
      <c r="O75" s="223"/>
      <c r="P75" s="25"/>
      <c r="Q75" s="473">
        <v>85982.59</v>
      </c>
      <c r="R75" s="223"/>
      <c r="S75" s="197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36"/>
      <c r="E76" s="25"/>
      <c r="F76" s="1178">
        <v>0</v>
      </c>
      <c r="G76" s="269"/>
      <c r="H76" s="25"/>
      <c r="I76" s="1178">
        <v>0</v>
      </c>
      <c r="J76" s="223"/>
      <c r="K76" s="25"/>
      <c r="L76" s="473">
        <v>0</v>
      </c>
      <c r="M76" s="223"/>
      <c r="N76" s="225">
        <f t="shared" si="18"/>
        <v>0</v>
      </c>
      <c r="O76" s="223"/>
      <c r="P76" s="25"/>
      <c r="Q76" s="473"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36"/>
      <c r="E77" s="25"/>
      <c r="F77" s="1178">
        <v>0</v>
      </c>
      <c r="G77" s="269"/>
      <c r="H77" s="25"/>
      <c r="I77" s="1178">
        <v>0</v>
      </c>
      <c r="J77" s="223"/>
      <c r="K77" s="25"/>
      <c r="L77" s="473">
        <v>0</v>
      </c>
      <c r="M77" s="223"/>
      <c r="N77" s="225">
        <f t="shared" si="18"/>
        <v>0</v>
      </c>
      <c r="O77" s="223"/>
      <c r="P77" s="25"/>
      <c r="Q77" s="473">
        <v>0</v>
      </c>
      <c r="R77" s="223"/>
      <c r="S77" s="197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36"/>
      <c r="E78" s="25"/>
      <c r="F78" s="1178">
        <v>111234.72218181819</v>
      </c>
      <c r="G78" s="269"/>
      <c r="H78" s="25"/>
      <c r="I78" s="1178">
        <v>0</v>
      </c>
      <c r="J78" s="223"/>
      <c r="K78" s="25"/>
      <c r="L78" s="180">
        <v>82883.199999999997</v>
      </c>
      <c r="M78" s="223"/>
      <c r="N78" s="225">
        <f t="shared" si="18"/>
        <v>-28351.522181818189</v>
      </c>
      <c r="O78" s="223"/>
      <c r="P78" s="25"/>
      <c r="Q78" s="473">
        <v>107698.5</v>
      </c>
      <c r="R78" s="223"/>
      <c r="S78" s="197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 t="shared" si="1"/>
        <v>Véhicules neufs[...]</v>
      </c>
      <c r="B79" s="24" t="str">
        <f t="shared" si="0"/>
        <v>Véhicules neufs</v>
      </c>
      <c r="C79" s="251" t="s">
        <v>42</v>
      </c>
      <c r="D79" s="36"/>
      <c r="E79" s="25"/>
      <c r="F79" s="1178">
        <v>0</v>
      </c>
      <c r="G79" s="269"/>
      <c r="H79" s="25"/>
      <c r="I79" s="1178">
        <v>0</v>
      </c>
      <c r="J79" s="223"/>
      <c r="K79" s="25"/>
      <c r="L79" s="180">
        <v>0</v>
      </c>
      <c r="M79" s="223"/>
      <c r="N79" s="225">
        <f t="shared" si="18"/>
        <v>0</v>
      </c>
      <c r="O79" s="223"/>
      <c r="P79" s="25"/>
      <c r="Q79" s="473"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 t="shared" si="1"/>
        <v>Véhicules neufs[...]</v>
      </c>
      <c r="B80" s="24" t="str">
        <f t="shared" si="0"/>
        <v>Véhicules neufs</v>
      </c>
      <c r="C80" s="251" t="s">
        <v>42</v>
      </c>
      <c r="D80" s="36"/>
      <c r="E80" s="25"/>
      <c r="F80" s="1178">
        <v>0</v>
      </c>
      <c r="G80" s="269"/>
      <c r="H80" s="25"/>
      <c r="I80" s="1178">
        <v>0</v>
      </c>
      <c r="J80" s="223"/>
      <c r="K80" s="25"/>
      <c r="L80" s="180">
        <v>0</v>
      </c>
      <c r="M80" s="223"/>
      <c r="N80" s="225">
        <f t="shared" si="18"/>
        <v>0</v>
      </c>
      <c r="O80" s="223"/>
      <c r="P80" s="25"/>
      <c r="Q80" s="473"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 t="shared" si="1"/>
        <v>Véhicules neufs[...]</v>
      </c>
      <c r="B81" s="24" t="str">
        <f t="shared" si="0"/>
        <v>Véhicules neufs</v>
      </c>
      <c r="C81" s="251" t="s">
        <v>42</v>
      </c>
      <c r="D81" s="36"/>
      <c r="E81" s="25"/>
      <c r="F81" s="1178">
        <v>0</v>
      </c>
      <c r="G81" s="269"/>
      <c r="H81" s="25"/>
      <c r="I81" s="1178">
        <v>0</v>
      </c>
      <c r="J81" s="223"/>
      <c r="K81" s="25"/>
      <c r="L81" s="180">
        <v>0</v>
      </c>
      <c r="M81" s="223"/>
      <c r="N81" s="225">
        <f t="shared" si="18"/>
        <v>0</v>
      </c>
      <c r="O81" s="223"/>
      <c r="P81" s="25"/>
      <c r="Q81" s="473"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36"/>
      <c r="E82" s="25"/>
      <c r="F82" s="1178">
        <v>37508.800000000003</v>
      </c>
      <c r="G82" s="269"/>
      <c r="H82" s="25"/>
      <c r="I82" s="1178">
        <v>0</v>
      </c>
      <c r="J82" s="223"/>
      <c r="K82" s="25"/>
      <c r="L82" s="473">
        <v>33320</v>
      </c>
      <c r="M82" s="223"/>
      <c r="N82" s="225">
        <f t="shared" si="18"/>
        <v>-4188.8000000000029</v>
      </c>
      <c r="O82" s="223"/>
      <c r="P82" s="25"/>
      <c r="Q82" s="473">
        <v>34510</v>
      </c>
      <c r="R82" s="223"/>
      <c r="S82" s="197">
        <f t="shared" si="19"/>
        <v>-1190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5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1222"/>
      <c r="E84" s="1223"/>
      <c r="F84" s="48"/>
      <c r="G84" s="49"/>
      <c r="H84" s="1223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182869.01295649738</v>
      </c>
      <c r="G85" s="379"/>
      <c r="H85" s="309"/>
      <c r="I85" s="306">
        <f>I27-I74+I83</f>
        <v>0</v>
      </c>
      <c r="J85" s="379"/>
      <c r="K85" s="305"/>
      <c r="L85" s="306">
        <f>L27-L74+L83</f>
        <v>122871.94</v>
      </c>
      <c r="M85" s="379"/>
      <c r="N85" s="306">
        <f>N27-N41-N54-N72+N83</f>
        <v>-59997.072956497366</v>
      </c>
      <c r="O85" s="379"/>
      <c r="P85" s="305"/>
      <c r="Q85" s="306">
        <f>Q27-Q74+Q83</f>
        <v>133446.61999999938</v>
      </c>
      <c r="R85" s="379"/>
      <c r="S85" s="310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79" t="s">
        <v>77</v>
      </c>
      <c r="E91" s="1280"/>
      <c r="F91" s="1281"/>
      <c r="G91" s="1284" t="s">
        <v>2981</v>
      </c>
      <c r="H91" s="1280"/>
      <c r="I91" s="1281"/>
      <c r="J91" s="1284" t="s">
        <v>78</v>
      </c>
      <c r="K91" s="1280"/>
      <c r="L91" s="1281"/>
      <c r="M91" s="1284" t="s">
        <v>2442</v>
      </c>
      <c r="N91" s="1281"/>
      <c r="O91" s="1279" t="s">
        <v>79</v>
      </c>
      <c r="P91" s="1280"/>
      <c r="Q91" s="1281"/>
      <c r="R91" s="1282" t="s">
        <v>2446</v>
      </c>
      <c r="S91" s="1283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457" t="s">
        <v>82</v>
      </c>
      <c r="F92" s="254" t="s">
        <v>83</v>
      </c>
      <c r="G92" s="252" t="s">
        <v>81</v>
      </c>
      <c r="H92" s="457" t="s">
        <v>82</v>
      </c>
      <c r="I92" s="254" t="s">
        <v>83</v>
      </c>
      <c r="J92" s="252" t="s">
        <v>81</v>
      </c>
      <c r="K92" s="457" t="s">
        <v>84</v>
      </c>
      <c r="L92" s="254" t="s">
        <v>83</v>
      </c>
      <c r="M92" s="252" t="s">
        <v>2443</v>
      </c>
      <c r="N92" s="254" t="s">
        <v>2444</v>
      </c>
      <c r="O92" s="457" t="s">
        <v>81</v>
      </c>
      <c r="P92" s="457" t="s">
        <v>84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0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v>4820117.6470588231</v>
      </c>
      <c r="G93" s="183"/>
      <c r="H93" s="184"/>
      <c r="I93" s="177">
        <v>0</v>
      </c>
      <c r="J93" s="278"/>
      <c r="K93" s="184"/>
      <c r="L93" s="177">
        <v>3515379.8600000003</v>
      </c>
      <c r="M93" s="341"/>
      <c r="N93" s="342"/>
      <c r="O93" s="278"/>
      <c r="P93" s="184"/>
      <c r="Q93" s="177">
        <v>4370901.34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0"/>
        <v>Véhicules usagésCertifié</v>
      </c>
      <c r="B94" s="24" t="s">
        <v>140</v>
      </c>
      <c r="C94" s="251" t="s">
        <v>141</v>
      </c>
      <c r="D94" s="1178">
        <v>21</v>
      </c>
      <c r="E94" s="1178">
        <f>IF(D94=0,0,F94/D94)</f>
        <v>2300</v>
      </c>
      <c r="F94" s="1178">
        <v>48300</v>
      </c>
      <c r="G94" s="182">
        <v>0</v>
      </c>
      <c r="H94" s="1178">
        <f t="shared" ref="H94:H100" si="21">IF(G94=0,0,I94/G94)</f>
        <v>0</v>
      </c>
      <c r="I94" s="1178">
        <v>0</v>
      </c>
      <c r="J94" s="182">
        <v>16</v>
      </c>
      <c r="K94" s="1178">
        <f>IF(J94=0,0,L94/J94)</f>
        <v>1934.901249999999</v>
      </c>
      <c r="L94" s="180">
        <v>30958.419999999984</v>
      </c>
      <c r="M94" s="182">
        <f>J94-D94</f>
        <v>-5</v>
      </c>
      <c r="N94" s="180">
        <f>L94-F94</f>
        <v>-17341.580000000016</v>
      </c>
      <c r="O94" s="182">
        <v>11</v>
      </c>
      <c r="P94" s="1178">
        <f>IF(O94=0,0,Q94/O94)</f>
        <v>2335.0127272727291</v>
      </c>
      <c r="Q94" s="180">
        <v>25685.140000000021</v>
      </c>
      <c r="R94" s="182">
        <f>J94-O94</f>
        <v>5</v>
      </c>
      <c r="S94" s="345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0"/>
        <v>Véhicules usagésNon Certifié</v>
      </c>
      <c r="B95" s="24" t="s">
        <v>140</v>
      </c>
      <c r="C95" s="251" t="s">
        <v>142</v>
      </c>
      <c r="D95" s="1178">
        <v>21</v>
      </c>
      <c r="E95" s="1178">
        <f>IF(D95=0,0,F95/D95)</f>
        <v>1600</v>
      </c>
      <c r="F95" s="1178">
        <v>33600</v>
      </c>
      <c r="G95" s="182">
        <v>0</v>
      </c>
      <c r="H95" s="1178">
        <f t="shared" si="21"/>
        <v>0</v>
      </c>
      <c r="I95" s="1178">
        <v>0</v>
      </c>
      <c r="J95" s="182">
        <v>13</v>
      </c>
      <c r="K95" s="1178">
        <f>IF(J95=0,0,L95/J95)</f>
        <v>1331.8299999999997</v>
      </c>
      <c r="L95" s="473">
        <v>17313.789999999997</v>
      </c>
      <c r="M95" s="182">
        <f>J95-D95</f>
        <v>-8</v>
      </c>
      <c r="N95" s="180">
        <f>L95-F95</f>
        <v>-16286.210000000003</v>
      </c>
      <c r="O95" s="182">
        <v>19</v>
      </c>
      <c r="P95" s="1178">
        <f>IF(O95=0,0,Q95/O95)</f>
        <v>1730.9552631578922</v>
      </c>
      <c r="Q95" s="473">
        <v>32888.149999999951</v>
      </c>
      <c r="R95" s="182">
        <f>J95-O95</f>
        <v>-6</v>
      </c>
      <c r="S95" s="345">
        <f>L95-Q95</f>
        <v>-15574.359999999953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>+B96&amp;C96</f>
        <v>Véhicules usagésAutres marques</v>
      </c>
      <c r="B96" s="24" t="s">
        <v>140</v>
      </c>
      <c r="C96" s="251" t="s">
        <v>2811</v>
      </c>
      <c r="D96" s="1178">
        <v>21</v>
      </c>
      <c r="E96" s="184">
        <f>IF(D96=0,0,F96/D96)</f>
        <v>1500</v>
      </c>
      <c r="F96" s="1178">
        <v>31500</v>
      </c>
      <c r="G96" s="182">
        <v>0</v>
      </c>
      <c r="H96" s="1178">
        <f t="shared" si="21"/>
        <v>0</v>
      </c>
      <c r="I96" s="1178">
        <v>0</v>
      </c>
      <c r="J96" s="182">
        <v>15</v>
      </c>
      <c r="K96" s="1178">
        <f>IF(J96=0,0,L96/J96)</f>
        <v>1266.6659999999995</v>
      </c>
      <c r="L96" s="473">
        <v>18999.989999999991</v>
      </c>
      <c r="M96" s="182">
        <f>J96-D96</f>
        <v>-6</v>
      </c>
      <c r="N96" s="180">
        <f>L96-F96</f>
        <v>-12500.010000000009</v>
      </c>
      <c r="O96" s="182">
        <v>24</v>
      </c>
      <c r="P96" s="1178">
        <f>IF(O96=0,0,Q96/O96)</f>
        <v>1336.5691666666623</v>
      </c>
      <c r="Q96" s="473">
        <v>32077.659999999898</v>
      </c>
      <c r="R96" s="182">
        <f>J96-O96</f>
        <v>-9</v>
      </c>
      <c r="S96" s="345">
        <f>L96-Q96</f>
        <v>-13077.669999999907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0"/>
        <v>Véhicules usagésTotal Usagés</v>
      </c>
      <c r="B97" s="24" t="s">
        <v>140</v>
      </c>
      <c r="C97" s="337" t="s">
        <v>143</v>
      </c>
      <c r="D97" s="346">
        <f>+D95+D94+D96</f>
        <v>63</v>
      </c>
      <c r="E97" s="1178">
        <f>IF(D97=0,0,F97/D97)</f>
        <v>1800</v>
      </c>
      <c r="F97" s="347">
        <f>+F94+F95+F96</f>
        <v>113400</v>
      </c>
      <c r="G97" s="348">
        <f>+G95+G94+G96</f>
        <v>0</v>
      </c>
      <c r="H97" s="346">
        <f t="shared" si="21"/>
        <v>0</v>
      </c>
      <c r="I97" s="347">
        <f>+I94+I95+I96</f>
        <v>0</v>
      </c>
      <c r="J97" s="348">
        <f>+J95+J94+J96</f>
        <v>44</v>
      </c>
      <c r="K97" s="346">
        <f>IF(J97=0,0,L97/J97)</f>
        <v>1528.9136363636355</v>
      </c>
      <c r="L97" s="347">
        <f>+L94+L95+L96</f>
        <v>67272.199999999968</v>
      </c>
      <c r="M97" s="348">
        <f>J97-D97</f>
        <v>-19</v>
      </c>
      <c r="N97" s="347">
        <f>L97-F97</f>
        <v>-46127.800000000032</v>
      </c>
      <c r="O97" s="348">
        <f>+O95+O94+O96</f>
        <v>54</v>
      </c>
      <c r="P97" s="346">
        <f>IF(O97&lt;=0,0,Q97/O97)</f>
        <v>1678.7212962962938</v>
      </c>
      <c r="Q97" s="347">
        <f>+Q94+Q95+Q96</f>
        <v>90650.949999999866</v>
      </c>
      <c r="R97" s="348">
        <f>J97-O97</f>
        <v>-10</v>
      </c>
      <c r="S97" s="349">
        <f>L97-Q97</f>
        <v>-23378.749999999898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0"/>
        <v>Véhicules usagés</v>
      </c>
      <c r="B98" s="24" t="s">
        <v>140</v>
      </c>
      <c r="C98" s="251"/>
      <c r="D98" s="25"/>
      <c r="E98" s="1178"/>
      <c r="F98" s="265"/>
      <c r="G98" s="223"/>
      <c r="H98" s="25">
        <f t="shared" si="21"/>
        <v>0</v>
      </c>
      <c r="I98" s="265"/>
      <c r="J98" s="223"/>
      <c r="K98" s="25"/>
      <c r="L98" s="265"/>
      <c r="M98" s="235">
        <f>M97/D97</f>
        <v>-0.30158730158730157</v>
      </c>
      <c r="N98" s="234">
        <f>N97/F97</f>
        <v>-0.40677072310405671</v>
      </c>
      <c r="O98" s="223"/>
      <c r="P98" s="25"/>
      <c r="Q98" s="265"/>
      <c r="R98" s="235">
        <f>R97/O97</f>
        <v>-0.18518518518518517</v>
      </c>
      <c r="S98" s="262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0"/>
        <v>Véhicules usagésUS</v>
      </c>
      <c r="B99" s="24" t="s">
        <v>140</v>
      </c>
      <c r="C99" s="251" t="s">
        <v>2982</v>
      </c>
      <c r="D99" s="1178">
        <v>0</v>
      </c>
      <c r="E99" s="1178">
        <f>IF(D99=0,0,F99/D99)</f>
        <v>0</v>
      </c>
      <c r="F99" s="1178">
        <v>0</v>
      </c>
      <c r="G99" s="223">
        <v>0</v>
      </c>
      <c r="H99" s="1178">
        <f t="shared" si="21"/>
        <v>0</v>
      </c>
      <c r="I99" s="1178">
        <v>0</v>
      </c>
      <c r="J99" s="182">
        <v>0</v>
      </c>
      <c r="K99" s="1178">
        <f>IF(J99=0,0,L99/J99)</f>
        <v>0</v>
      </c>
      <c r="L99" s="180">
        <v>0</v>
      </c>
      <c r="M99" s="182"/>
      <c r="N99" s="180"/>
      <c r="O99" s="182">
        <v>0</v>
      </c>
      <c r="P99" s="1178">
        <f>IF(O99=0,0,Q99/O99)</f>
        <v>0</v>
      </c>
      <c r="Q99" s="180">
        <v>0</v>
      </c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0"/>
        <v>Véhicules usagésVentes au Gros</v>
      </c>
      <c r="B100" s="24" t="s">
        <v>140</v>
      </c>
      <c r="C100" s="251" t="s">
        <v>144</v>
      </c>
      <c r="D100" s="1178">
        <v>63</v>
      </c>
      <c r="E100" s="1178">
        <f>IF(D100=0,0,F100/D100)</f>
        <v>350</v>
      </c>
      <c r="F100" s="1178">
        <v>22050</v>
      </c>
      <c r="G100" s="182">
        <v>0</v>
      </c>
      <c r="H100" s="1178">
        <f t="shared" si="21"/>
        <v>0</v>
      </c>
      <c r="I100" s="1178">
        <v>0</v>
      </c>
      <c r="J100" s="182">
        <v>48</v>
      </c>
      <c r="K100" s="1178">
        <f>IF(J100=0,0,L100/J100)</f>
        <v>446.47041666666701</v>
      </c>
      <c r="L100" s="180">
        <v>21430.580000000016</v>
      </c>
      <c r="M100" s="182">
        <f>J100-D100</f>
        <v>-15</v>
      </c>
      <c r="N100" s="180">
        <f>L100-F100</f>
        <v>-619.4199999999837</v>
      </c>
      <c r="O100" s="182">
        <v>66</v>
      </c>
      <c r="P100" s="1178">
        <f>IF(O100=0,0,Q100/O100)</f>
        <v>449.89030303030142</v>
      </c>
      <c r="Q100" s="180">
        <v>29692.759999999893</v>
      </c>
      <c r="R100" s="182">
        <f>J100-O100</f>
        <v>-18</v>
      </c>
      <c r="S100" s="345">
        <f>L100-Q100</f>
        <v>-8262.1799999998766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0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0"/>
        <v>Véhicules usagésRev. Finances</v>
      </c>
      <c r="B102" s="24" t="s">
        <v>140</v>
      </c>
      <c r="C102" s="251" t="s">
        <v>94</v>
      </c>
      <c r="D102" s="1178">
        <v>0</v>
      </c>
      <c r="E102" s="1178">
        <f>IF(D102=0,0,F102/D102)</f>
        <v>0</v>
      </c>
      <c r="F102" s="180">
        <v>23940</v>
      </c>
      <c r="G102" s="182">
        <v>0</v>
      </c>
      <c r="H102" s="1178">
        <f>IF(G102=0,0,I102/G102)</f>
        <v>0</v>
      </c>
      <c r="I102" s="1178">
        <v>0</v>
      </c>
      <c r="J102" s="182">
        <v>0</v>
      </c>
      <c r="K102" s="1178">
        <f>IF(J102=0,0,L102/J102)</f>
        <v>0</v>
      </c>
      <c r="L102" s="180">
        <v>4758.84</v>
      </c>
      <c r="M102" s="182"/>
      <c r="N102" s="180">
        <f>L102-F102</f>
        <v>-19181.16</v>
      </c>
      <c r="O102" s="182">
        <v>0</v>
      </c>
      <c r="P102" s="1178">
        <f>IF(O102=0,0,Q102/O102)</f>
        <v>0</v>
      </c>
      <c r="Q102" s="180">
        <v>17188.5</v>
      </c>
      <c r="R102" s="182">
        <f>O102-K102</f>
        <v>0</v>
      </c>
      <c r="S102" s="345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0"/>
        <v>Véhicules usagésRev. Protections</v>
      </c>
      <c r="B103" s="24" t="s">
        <v>140</v>
      </c>
      <c r="C103" s="251" t="s">
        <v>95</v>
      </c>
      <c r="D103" s="1178">
        <v>0</v>
      </c>
      <c r="E103" s="1178">
        <f>IF(D103=0,0,F103/D103)</f>
        <v>0</v>
      </c>
      <c r="F103" s="180">
        <v>53550</v>
      </c>
      <c r="G103" s="182">
        <v>0</v>
      </c>
      <c r="H103" s="1178">
        <f>IF(G103=0,0,I103/G103)</f>
        <v>0</v>
      </c>
      <c r="I103" s="1178">
        <v>0</v>
      </c>
      <c r="J103" s="182">
        <v>0</v>
      </c>
      <c r="K103" s="1178">
        <f>IF(J103=0,0,L103/J103)</f>
        <v>0</v>
      </c>
      <c r="L103" s="180">
        <v>37693.86</v>
      </c>
      <c r="M103" s="182"/>
      <c r="N103" s="180">
        <f>L103-F103</f>
        <v>-15856.14</v>
      </c>
      <c r="O103" s="182">
        <v>0</v>
      </c>
      <c r="P103" s="1178">
        <f>IF(O103=0,0,Q103/O103)</f>
        <v>0</v>
      </c>
      <c r="Q103" s="180">
        <v>36323.300000000003</v>
      </c>
      <c r="R103" s="182">
        <f>O103-K103</f>
        <v>0</v>
      </c>
      <c r="S103" s="345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0"/>
        <v>Véhicules usagésRev. Autres</v>
      </c>
      <c r="B104" s="24" t="s">
        <v>140</v>
      </c>
      <c r="C104" s="251" t="s">
        <v>96</v>
      </c>
      <c r="D104" s="1178">
        <v>0</v>
      </c>
      <c r="E104" s="184">
        <f>IF(D104=0,0,F104/D104)</f>
        <v>0</v>
      </c>
      <c r="F104" s="180">
        <v>13860</v>
      </c>
      <c r="G104" s="182">
        <v>0</v>
      </c>
      <c r="H104" s="352">
        <f>IF(G104=0,0,I104/G104)</f>
        <v>0</v>
      </c>
      <c r="I104" s="1178">
        <v>0</v>
      </c>
      <c r="J104" s="182">
        <v>0</v>
      </c>
      <c r="K104" s="352">
        <f>IF(J104=0,0,L104/J104)</f>
        <v>0</v>
      </c>
      <c r="L104" s="180">
        <v>16785.43</v>
      </c>
      <c r="M104" s="351"/>
      <c r="N104" s="180">
        <f>L104-F104</f>
        <v>2925.4300000000003</v>
      </c>
      <c r="O104" s="182">
        <v>0</v>
      </c>
      <c r="P104" s="352">
        <f>IF(O104=0,0,Q104/O104)</f>
        <v>0</v>
      </c>
      <c r="Q104" s="180">
        <v>10177</v>
      </c>
      <c r="R104" s="182">
        <f>O104-K104</f>
        <v>0</v>
      </c>
      <c r="S104" s="345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0"/>
        <v>Véhicules usagésTotal F&amp;I</v>
      </c>
      <c r="B105" s="24" t="s">
        <v>140</v>
      </c>
      <c r="C105" s="337" t="s">
        <v>97</v>
      </c>
      <c r="D105" s="346">
        <f>D97</f>
        <v>63</v>
      </c>
      <c r="E105" s="1178">
        <f>IF(D105=0,0,F105/D105)</f>
        <v>1450</v>
      </c>
      <c r="F105" s="347">
        <f>F102+F103+F104</f>
        <v>91350</v>
      </c>
      <c r="G105" s="348">
        <f>G97</f>
        <v>0</v>
      </c>
      <c r="H105" s="346">
        <f>IF(G105=0,0,I105/G105)</f>
        <v>0</v>
      </c>
      <c r="I105" s="347">
        <f>I102+I103+I104</f>
        <v>0</v>
      </c>
      <c r="J105" s="348">
        <f>J97</f>
        <v>44</v>
      </c>
      <c r="K105" s="346">
        <f>IF(J105&lt;=0,0,L105/J105)</f>
        <v>1346.3211363636362</v>
      </c>
      <c r="L105" s="347">
        <f>L102+L103+L104</f>
        <v>59238.13</v>
      </c>
      <c r="M105" s="182">
        <f>J105-D105</f>
        <v>-19</v>
      </c>
      <c r="N105" s="347">
        <f>L105-F105</f>
        <v>-32111.870000000003</v>
      </c>
      <c r="O105" s="348">
        <f>O97</f>
        <v>54</v>
      </c>
      <c r="P105" s="346">
        <f>IF(O105&lt;=0,0,Q105/O105)</f>
        <v>1179.4222222222222</v>
      </c>
      <c r="Q105" s="347">
        <f>Q102+Q103+Q104</f>
        <v>63688.800000000003</v>
      </c>
      <c r="R105" s="356"/>
      <c r="S105" s="349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0"/>
        <v>Véhicules usagés</v>
      </c>
      <c r="B106" s="24" t="s">
        <v>140</v>
      </c>
      <c r="C106" s="251"/>
      <c r="D106" s="25"/>
      <c r="E106" s="25"/>
      <c r="F106" s="225"/>
      <c r="G106" s="223"/>
      <c r="H106" s="1224"/>
      <c r="I106" s="225"/>
      <c r="J106" s="223"/>
      <c r="K106" s="25"/>
      <c r="L106" s="225"/>
      <c r="M106" s="235"/>
      <c r="N106" s="234">
        <f>N105/F105</f>
        <v>-0.35152567049808431</v>
      </c>
      <c r="O106" s="223"/>
      <c r="P106" s="25"/>
      <c r="Q106" s="225"/>
      <c r="R106" s="224"/>
      <c r="S106" s="262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0"/>
        <v>Véhicules usagés</v>
      </c>
      <c r="B107" s="24" t="s">
        <v>140</v>
      </c>
      <c r="C107" s="251"/>
      <c r="D107" s="25"/>
      <c r="E107" s="25"/>
      <c r="F107" s="225"/>
      <c r="G107" s="223"/>
      <c r="H107" s="1224"/>
      <c r="I107" s="225"/>
      <c r="J107" s="223"/>
      <c r="K107" s="25"/>
      <c r="L107" s="225"/>
      <c r="M107" s="235"/>
      <c r="N107" s="234"/>
      <c r="O107" s="223"/>
      <c r="P107" s="25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0"/>
        <v>Véhicules usagésTotal Dépt. Usagés</v>
      </c>
      <c r="B108" s="24" t="s">
        <v>140</v>
      </c>
      <c r="C108" s="256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1">
        <f>L108-Q108</f>
        <v>-36091.599999999802</v>
      </c>
      <c r="T108" s="25"/>
      <c r="U108" s="25"/>
      <c r="V108" s="739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0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-0.26984126984126983</v>
      </c>
      <c r="N109" s="34">
        <f>N108/F108</f>
        <v>-0.34770321869488546</v>
      </c>
      <c r="O109" s="31"/>
      <c r="P109" s="323"/>
      <c r="Q109" s="32"/>
      <c r="R109" s="33">
        <f>O108/R108</f>
        <v>-4.2857142857142856</v>
      </c>
      <c r="S109" s="357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0"/>
        <v>Véhicules usagés</v>
      </c>
      <c r="B110" s="24" t="s">
        <v>140</v>
      </c>
      <c r="C110" s="260"/>
      <c r="D110" s="56"/>
      <c r="E110" s="56"/>
      <c r="F110" s="283"/>
      <c r="G110" s="232"/>
      <c r="H110" s="56"/>
      <c r="I110" s="283"/>
      <c r="J110" s="232"/>
      <c r="K110" s="56"/>
      <c r="L110" s="283"/>
      <c r="M110" s="235"/>
      <c r="N110" s="234"/>
      <c r="O110" s="232"/>
      <c r="P110" s="56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0"/>
        <v>Véhicules usagésDEPENSES</v>
      </c>
      <c r="B111" s="24" t="s">
        <v>140</v>
      </c>
      <c r="C111" s="263" t="s">
        <v>99</v>
      </c>
      <c r="D111" s="25"/>
      <c r="E111" s="457"/>
      <c r="F111" s="225"/>
      <c r="G111" s="223"/>
      <c r="H111" s="457"/>
      <c r="I111" s="225"/>
      <c r="J111" s="223"/>
      <c r="K111" s="457"/>
      <c r="L111" s="265"/>
      <c r="M111" s="223"/>
      <c r="N111" s="265"/>
      <c r="O111" s="223"/>
      <c r="P111" s="457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0"/>
        <v>Véhicules usagésComm. vendeurs</v>
      </c>
      <c r="B112" s="24" t="s">
        <v>140</v>
      </c>
      <c r="C112" s="251" t="s">
        <v>100</v>
      </c>
      <c r="D112" s="453">
        <f>F112/(F97+F105)</f>
        <v>0.18863149621770312</v>
      </c>
      <c r="E112" s="37">
        <f>F112/D$97</f>
        <v>613.05236270753517</v>
      </c>
      <c r="F112" s="1178">
        <v>38622.298850574713</v>
      </c>
      <c r="G112" s="293" t="e">
        <f>I112/I97</f>
        <v>#DIV/0!</v>
      </c>
      <c r="H112" s="37" t="e">
        <f>I112/G$97</f>
        <v>#DIV/0!</v>
      </c>
      <c r="I112" s="1178">
        <v>0</v>
      </c>
      <c r="J112" s="293">
        <f>L112/L97</f>
        <v>0.29113601160657759</v>
      </c>
      <c r="K112" s="37">
        <f>IF($J$97=0,0,L112/(J$94+J$95))</f>
        <v>675.35724137931038</v>
      </c>
      <c r="L112" s="180">
        <v>19585.36</v>
      </c>
      <c r="M112" s="223"/>
      <c r="N112" s="225">
        <f t="shared" ref="N112:N153" si="22">L112-F112</f>
        <v>-19036.938850574712</v>
      </c>
      <c r="O112" s="293">
        <f>Q112/Q97</f>
        <v>0.33507337760939127</v>
      </c>
      <c r="P112" s="37">
        <f>IF($J$97=0,0,Q112/(O$94+O$95))</f>
        <v>1012.4906666666667</v>
      </c>
      <c r="Q112" s="180">
        <v>30374.720000000001</v>
      </c>
      <c r="R112" s="223"/>
      <c r="S112" s="197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0"/>
        <v>Véhicules usagésComm. F&amp;I</v>
      </c>
      <c r="B113" s="24" t="s">
        <v>140</v>
      </c>
      <c r="C113" s="294" t="s">
        <v>101</v>
      </c>
      <c r="D113" s="301">
        <f>F113/(F105+F19)</f>
        <v>0.25575561964902743</v>
      </c>
      <c r="E113" s="358">
        <f>F113/D$97</f>
        <v>398.75</v>
      </c>
      <c r="F113" s="177">
        <v>25121.25</v>
      </c>
      <c r="G113" s="320" t="e">
        <f>I113/I98</f>
        <v>#DIV/0!</v>
      </c>
      <c r="H113" s="358" t="e">
        <f>I113/G$97</f>
        <v>#DIV/0!</v>
      </c>
      <c r="I113" s="177">
        <v>0</v>
      </c>
      <c r="J113" s="320">
        <f>L113/L105</f>
        <v>0.23312248377860678</v>
      </c>
      <c r="K113" s="358">
        <f>IF($J$97=0,0,L113/(J$94+J$95))</f>
        <v>476.19793103448274</v>
      </c>
      <c r="L113" s="180">
        <v>13809.74</v>
      </c>
      <c r="M113" s="278"/>
      <c r="N113" s="279">
        <f t="shared" si="22"/>
        <v>-11311.51</v>
      </c>
      <c r="O113" s="320">
        <f>Q113/(Q105+Q19)</f>
        <v>0.24730564741894803</v>
      </c>
      <c r="P113" s="358">
        <f>IF($J$97=0,0,Q113/(O$94+O$95))</f>
        <v>636.63233333333335</v>
      </c>
      <c r="Q113" s="180">
        <v>19098.97</v>
      </c>
      <c r="R113" s="278"/>
      <c r="S113" s="200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0"/>
        <v>Véhicules usagésFrais de livraison</v>
      </c>
      <c r="B114" s="24" t="s">
        <v>140</v>
      </c>
      <c r="C114" s="251" t="s">
        <v>102</v>
      </c>
      <c r="D114" s="36"/>
      <c r="E114" s="37">
        <f>F114/D$97</f>
        <v>90</v>
      </c>
      <c r="F114" s="1178">
        <v>5670</v>
      </c>
      <c r="G114" s="269"/>
      <c r="H114" s="37" t="e">
        <f>I114/G$97</f>
        <v>#DIV/0!</v>
      </c>
      <c r="I114" s="1178">
        <v>0</v>
      </c>
      <c r="J114" s="223"/>
      <c r="K114" s="37">
        <f>IF($J$97=0,0,L114/(J$94+J$95))</f>
        <v>136.09931034482759</v>
      </c>
      <c r="L114" s="181">
        <v>3946.88</v>
      </c>
      <c r="M114" s="223"/>
      <c r="N114" s="225">
        <f t="shared" si="22"/>
        <v>-1723.12</v>
      </c>
      <c r="O114" s="223"/>
      <c r="P114" s="37">
        <f>IF($J$97=0,0,Q114/(O$94+O$95))</f>
        <v>148.15233333333333</v>
      </c>
      <c r="Q114" s="181">
        <v>4444.57</v>
      </c>
      <c r="R114" s="223"/>
      <c r="S114" s="197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0"/>
        <v>Véhicules usagésService gratuit 1</v>
      </c>
      <c r="B115" s="24" t="s">
        <v>140</v>
      </c>
      <c r="C115" s="251" t="s">
        <v>103</v>
      </c>
      <c r="D115" s="36"/>
      <c r="E115" s="37">
        <f t="shared" ref="E115:E121" si="24">F115/D$97</f>
        <v>94</v>
      </c>
      <c r="F115" s="1178">
        <v>5922</v>
      </c>
      <c r="G115" s="269"/>
      <c r="H115" s="37" t="e">
        <f t="shared" ref="H115:H121" si="25">I115/G$97</f>
        <v>#DIV/0!</v>
      </c>
      <c r="I115" s="1178">
        <v>0</v>
      </c>
      <c r="J115" s="223"/>
      <c r="K115" s="37">
        <f t="shared" ref="K115:K121" si="26">IF($J$97=0,0,L115/(J$94+J$95))</f>
        <v>83.28896551724138</v>
      </c>
      <c r="L115" s="180">
        <v>2415.38</v>
      </c>
      <c r="M115" s="223"/>
      <c r="N115" s="225">
        <f t="shared" si="22"/>
        <v>-3506.62</v>
      </c>
      <c r="O115" s="223"/>
      <c r="P115" s="37">
        <f t="shared" ref="P115:P121" si="27">IF($J$97=0,0,Q115/(O$94+O$95))</f>
        <v>184.11966666666666</v>
      </c>
      <c r="Q115" s="180">
        <v>5523.59</v>
      </c>
      <c r="R115" s="223"/>
      <c r="S115" s="197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0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90.952380952380949</v>
      </c>
      <c r="F116" s="177">
        <v>5730</v>
      </c>
      <c r="G116" s="277"/>
      <c r="H116" s="358" t="e">
        <f t="shared" si="25"/>
        <v>#DIV/0!</v>
      </c>
      <c r="I116" s="177">
        <v>0</v>
      </c>
      <c r="J116" s="278"/>
      <c r="K116" s="358">
        <f t="shared" si="26"/>
        <v>355.99103448275866</v>
      </c>
      <c r="L116" s="350">
        <v>10323.740000000002</v>
      </c>
      <c r="M116" s="278"/>
      <c r="N116" s="279">
        <f t="shared" si="22"/>
        <v>4593.7400000000016</v>
      </c>
      <c r="O116" s="278"/>
      <c r="P116" s="358">
        <f t="shared" si="27"/>
        <v>182.05666666666667</v>
      </c>
      <c r="Q116" s="350">
        <v>5461.7</v>
      </c>
      <c r="R116" s="278"/>
      <c r="S116" s="200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0"/>
        <v>Véhicules usagésPublicité 1</v>
      </c>
      <c r="B117" s="24" t="s">
        <v>140</v>
      </c>
      <c r="C117" s="251" t="s">
        <v>105</v>
      </c>
      <c r="D117" s="36"/>
      <c r="E117" s="37">
        <f t="shared" si="24"/>
        <v>310.71428571428572</v>
      </c>
      <c r="F117" s="1178">
        <v>19575</v>
      </c>
      <c r="G117" s="269"/>
      <c r="H117" s="37" t="e">
        <f t="shared" si="25"/>
        <v>#DIV/0!</v>
      </c>
      <c r="I117" s="1178">
        <v>0</v>
      </c>
      <c r="J117" s="223"/>
      <c r="K117" s="37">
        <f t="shared" si="26"/>
        <v>485.10206896551728</v>
      </c>
      <c r="L117" s="180">
        <v>14067.960000000001</v>
      </c>
      <c r="M117" s="223"/>
      <c r="N117" s="225">
        <f t="shared" si="22"/>
        <v>-5507.0399999999991</v>
      </c>
      <c r="O117" s="223"/>
      <c r="P117" s="37">
        <f t="shared" si="27"/>
        <v>635.70199999999966</v>
      </c>
      <c r="Q117" s="180">
        <v>19071.05999999999</v>
      </c>
      <c r="R117" s="223"/>
      <c r="S117" s="197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0"/>
        <v>Véhicules usagésIntérêt de gros</v>
      </c>
      <c r="B118" s="24" t="s">
        <v>140</v>
      </c>
      <c r="C118" s="251" t="s">
        <v>106</v>
      </c>
      <c r="D118" s="36"/>
      <c r="E118" s="37">
        <f t="shared" si="24"/>
        <v>239.14505191256831</v>
      </c>
      <c r="F118" s="1178">
        <v>15066.138270491803</v>
      </c>
      <c r="G118" s="269"/>
      <c r="H118" s="37" t="e">
        <f t="shared" si="25"/>
        <v>#DIV/0!</v>
      </c>
      <c r="I118" s="1178">
        <v>0</v>
      </c>
      <c r="J118" s="223"/>
      <c r="K118" s="37">
        <f t="shared" si="26"/>
        <v>364.48310344827587</v>
      </c>
      <c r="L118" s="180">
        <v>10570.01</v>
      </c>
      <c r="M118" s="223"/>
      <c r="N118" s="225">
        <f t="shared" si="22"/>
        <v>-4496.1282704918031</v>
      </c>
      <c r="O118" s="223"/>
      <c r="P118" s="37">
        <f t="shared" si="27"/>
        <v>532.65</v>
      </c>
      <c r="Q118" s="180">
        <v>15979.5</v>
      </c>
      <c r="R118" s="223"/>
      <c r="S118" s="197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 t="shared" si="20"/>
        <v>Véhicules usagés[...]</v>
      </c>
      <c r="B119" s="24" t="s">
        <v>140</v>
      </c>
      <c r="C119" s="251" t="s">
        <v>42</v>
      </c>
      <c r="D119" s="36"/>
      <c r="E119" s="37">
        <f t="shared" si="24"/>
        <v>0</v>
      </c>
      <c r="F119" s="1178">
        <v>0</v>
      </c>
      <c r="G119" s="269"/>
      <c r="H119" s="37" t="e">
        <f t="shared" si="25"/>
        <v>#DIV/0!</v>
      </c>
      <c r="I119" s="1178">
        <v>0</v>
      </c>
      <c r="J119" s="223"/>
      <c r="K119" s="37">
        <f t="shared" si="26"/>
        <v>0</v>
      </c>
      <c r="L119" s="180">
        <v>0</v>
      </c>
      <c r="M119" s="223"/>
      <c r="N119" s="225">
        <f t="shared" si="22"/>
        <v>0</v>
      </c>
      <c r="O119" s="223"/>
      <c r="P119" s="37">
        <f t="shared" si="27"/>
        <v>0</v>
      </c>
      <c r="Q119" s="180"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 t="shared" si="20"/>
        <v>Véhicules usagés[...]</v>
      </c>
      <c r="B120" s="24" t="s">
        <v>140</v>
      </c>
      <c r="C120" s="251" t="s">
        <v>42</v>
      </c>
      <c r="D120" s="36"/>
      <c r="E120" s="37">
        <f t="shared" si="24"/>
        <v>0</v>
      </c>
      <c r="F120" s="1178">
        <v>0</v>
      </c>
      <c r="G120" s="269"/>
      <c r="H120" s="37" t="e">
        <f t="shared" si="25"/>
        <v>#DIV/0!</v>
      </c>
      <c r="I120" s="1178">
        <v>0</v>
      </c>
      <c r="J120" s="223"/>
      <c r="K120" s="37">
        <f t="shared" si="26"/>
        <v>0</v>
      </c>
      <c r="L120" s="180">
        <v>0</v>
      </c>
      <c r="M120" s="223"/>
      <c r="N120" s="225">
        <f t="shared" si="22"/>
        <v>0</v>
      </c>
      <c r="O120" s="223"/>
      <c r="P120" s="37">
        <f t="shared" si="27"/>
        <v>0</v>
      </c>
      <c r="Q120" s="180"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 t="shared" si="20"/>
        <v>Véhicules usagés[...]</v>
      </c>
      <c r="B121" s="24" t="s">
        <v>140</v>
      </c>
      <c r="C121" s="251" t="s">
        <v>42</v>
      </c>
      <c r="D121" s="36"/>
      <c r="E121" s="37">
        <f t="shared" si="24"/>
        <v>0</v>
      </c>
      <c r="F121" s="1178">
        <v>0</v>
      </c>
      <c r="G121" s="269"/>
      <c r="H121" s="37" t="e">
        <f t="shared" si="25"/>
        <v>#DIV/0!</v>
      </c>
      <c r="I121" s="1178">
        <v>0</v>
      </c>
      <c r="J121" s="223"/>
      <c r="K121" s="37">
        <f t="shared" si="26"/>
        <v>0</v>
      </c>
      <c r="L121" s="180">
        <v>0</v>
      </c>
      <c r="M121" s="223"/>
      <c r="N121" s="225">
        <f t="shared" si="22"/>
        <v>0</v>
      </c>
      <c r="O121" s="223"/>
      <c r="P121" s="37">
        <f t="shared" si="27"/>
        <v>0</v>
      </c>
      <c r="Q121" s="180">
        <v>0</v>
      </c>
      <c r="R121" s="223"/>
      <c r="S121" s="197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0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5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0"/>
        <v>Véhicules usagésSalaires cadres</v>
      </c>
      <c r="B123" s="24" t="s">
        <v>140</v>
      </c>
      <c r="C123" s="267" t="s">
        <v>109</v>
      </c>
      <c r="D123" s="25"/>
      <c r="E123" s="25"/>
      <c r="F123" s="1178">
        <v>15114.02652519894</v>
      </c>
      <c r="G123" s="223"/>
      <c r="H123" s="25"/>
      <c r="I123" s="1178">
        <v>0</v>
      </c>
      <c r="J123" s="223"/>
      <c r="K123" s="25"/>
      <c r="L123" s="180">
        <v>9330.369999999999</v>
      </c>
      <c r="M123" s="223"/>
      <c r="N123" s="225">
        <f t="shared" si="22"/>
        <v>-5783.6565251989414</v>
      </c>
      <c r="O123" s="223"/>
      <c r="P123" s="25"/>
      <c r="Q123" s="180">
        <v>12245.4</v>
      </c>
      <c r="R123" s="223"/>
      <c r="S123" s="197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0"/>
        <v>Véhicules usagésSalaires commis</v>
      </c>
      <c r="B124" s="24" t="s">
        <v>140</v>
      </c>
      <c r="C124" s="268" t="s">
        <v>110</v>
      </c>
      <c r="D124" s="36"/>
      <c r="E124" s="25"/>
      <c r="F124" s="177">
        <v>8274.5298850574709</v>
      </c>
      <c r="G124" s="269"/>
      <c r="H124" s="25"/>
      <c r="I124" s="177">
        <v>0</v>
      </c>
      <c r="J124" s="223"/>
      <c r="K124" s="25"/>
      <c r="L124" s="177">
        <v>8989.98</v>
      </c>
      <c r="M124" s="223"/>
      <c r="N124" s="225">
        <f t="shared" si="22"/>
        <v>715.45011494252867</v>
      </c>
      <c r="O124" s="223"/>
      <c r="P124" s="25"/>
      <c r="Q124" s="177">
        <v>8428.7200000000012</v>
      </c>
      <c r="R124" s="223"/>
      <c r="S124" s="197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25">
      <c r="A125" t="str">
        <f t="shared" si="20"/>
        <v>Véhicules usagésSalaires autres</v>
      </c>
      <c r="B125" s="24" t="s">
        <v>140</v>
      </c>
      <c r="C125" s="267" t="s">
        <v>111</v>
      </c>
      <c r="D125" s="270"/>
      <c r="E125" s="271"/>
      <c r="F125" s="1178">
        <v>8427</v>
      </c>
      <c r="G125" s="272"/>
      <c r="H125" s="271"/>
      <c r="I125" s="1178">
        <v>0</v>
      </c>
      <c r="J125" s="273"/>
      <c r="K125" s="271"/>
      <c r="L125" s="180">
        <v>8427</v>
      </c>
      <c r="M125" s="273"/>
      <c r="N125" s="274">
        <f t="shared" si="22"/>
        <v>0</v>
      </c>
      <c r="O125" s="273"/>
      <c r="P125" s="271"/>
      <c r="Q125" s="180">
        <v>8427</v>
      </c>
      <c r="R125" s="273"/>
      <c r="S125" s="199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25">
      <c r="A126" t="str">
        <f t="shared" si="20"/>
        <v>Véhicules usagésSalaires spécialistes</v>
      </c>
      <c r="B126" s="24" t="s">
        <v>140</v>
      </c>
      <c r="C126" s="267" t="s">
        <v>112</v>
      </c>
      <c r="D126" s="36"/>
      <c r="E126" s="25"/>
      <c r="F126" s="1178">
        <v>0</v>
      </c>
      <c r="G126" s="269"/>
      <c r="H126" s="25"/>
      <c r="I126" s="1178">
        <v>0</v>
      </c>
      <c r="J126" s="223"/>
      <c r="K126" s="25"/>
      <c r="L126" s="180">
        <v>0</v>
      </c>
      <c r="M126" s="223"/>
      <c r="N126" s="225">
        <f t="shared" si="22"/>
        <v>0</v>
      </c>
      <c r="O126" s="223"/>
      <c r="P126" s="25"/>
      <c r="Q126" s="180">
        <v>0</v>
      </c>
      <c r="R126" s="223"/>
      <c r="S126" s="197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25" hidden="1">
      <c r="A127" t="str">
        <f t="shared" si="20"/>
        <v>Véhicules usagés[...]</v>
      </c>
      <c r="B127" s="24" t="s">
        <v>140</v>
      </c>
      <c r="C127" s="267" t="s">
        <v>42</v>
      </c>
      <c r="D127" s="36"/>
      <c r="E127" s="25"/>
      <c r="F127" s="1178">
        <v>0</v>
      </c>
      <c r="G127" s="269"/>
      <c r="H127" s="25"/>
      <c r="I127" s="1178">
        <v>0</v>
      </c>
      <c r="J127" s="223"/>
      <c r="K127" s="25"/>
      <c r="L127" s="180">
        <v>0</v>
      </c>
      <c r="M127" s="223"/>
      <c r="N127" s="225">
        <f t="shared" si="22"/>
        <v>0</v>
      </c>
      <c r="O127" s="223"/>
      <c r="P127" s="25"/>
      <c r="Q127" s="180">
        <v>0</v>
      </c>
      <c r="R127" s="223"/>
      <c r="S127" s="197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25" hidden="1">
      <c r="A128" t="str">
        <f t="shared" si="20"/>
        <v>Véhicules usagés[...]</v>
      </c>
      <c r="B128" s="24" t="s">
        <v>140</v>
      </c>
      <c r="C128" s="267" t="s">
        <v>42</v>
      </c>
      <c r="D128" s="36"/>
      <c r="E128" s="25"/>
      <c r="F128" s="1178">
        <v>0</v>
      </c>
      <c r="G128" s="269"/>
      <c r="H128" s="25"/>
      <c r="I128" s="1178">
        <v>0</v>
      </c>
      <c r="J128" s="223"/>
      <c r="K128" s="25"/>
      <c r="L128" s="180">
        <v>0</v>
      </c>
      <c r="M128" s="223"/>
      <c r="N128" s="225">
        <f t="shared" si="22"/>
        <v>0</v>
      </c>
      <c r="O128" s="223"/>
      <c r="P128" s="25"/>
      <c r="Q128" s="180">
        <v>0</v>
      </c>
      <c r="R128" s="223"/>
      <c r="S128" s="197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25" hidden="1">
      <c r="A129" t="str">
        <f t="shared" si="20"/>
        <v>Véhicules usagés[...]</v>
      </c>
      <c r="B129" s="24" t="s">
        <v>140</v>
      </c>
      <c r="C129" s="267" t="s">
        <v>42</v>
      </c>
      <c r="D129" s="36"/>
      <c r="E129" s="25"/>
      <c r="F129" s="1178">
        <v>0</v>
      </c>
      <c r="G129" s="269"/>
      <c r="H129" s="25"/>
      <c r="I129" s="1178">
        <v>0</v>
      </c>
      <c r="J129" s="223"/>
      <c r="K129" s="25"/>
      <c r="L129" s="180">
        <v>0</v>
      </c>
      <c r="M129" s="223"/>
      <c r="N129" s="225">
        <f t="shared" si="22"/>
        <v>0</v>
      </c>
      <c r="O129" s="223"/>
      <c r="P129" s="25"/>
      <c r="Q129" s="180">
        <v>0</v>
      </c>
      <c r="R129" s="223"/>
      <c r="S129" s="197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25">
      <c r="A130" t="str">
        <f t="shared" si="20"/>
        <v>Véhicules usagésSalaires en absences</v>
      </c>
      <c r="B130" s="24" t="s">
        <v>140</v>
      </c>
      <c r="C130" s="268" t="s">
        <v>113</v>
      </c>
      <c r="D130" s="36"/>
      <c r="E130" s="25"/>
      <c r="F130" s="1178">
        <v>10760.50709453514</v>
      </c>
      <c r="G130" s="269"/>
      <c r="H130" s="25"/>
      <c r="I130" s="1178">
        <v>0</v>
      </c>
      <c r="J130" s="223"/>
      <c r="K130" s="25"/>
      <c r="L130" s="180">
        <v>10358.509999999998</v>
      </c>
      <c r="M130" s="223"/>
      <c r="N130" s="225">
        <f t="shared" si="22"/>
        <v>-401.99709453514151</v>
      </c>
      <c r="O130" s="223"/>
      <c r="P130" s="25"/>
      <c r="Q130" s="180">
        <v>9286.35</v>
      </c>
      <c r="R130" s="223"/>
      <c r="S130" s="197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0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v>12983.688957838196</v>
      </c>
      <c r="G131" s="272"/>
      <c r="H131" s="271"/>
      <c r="I131" s="373">
        <v>0</v>
      </c>
      <c r="J131" s="273"/>
      <c r="K131" s="271"/>
      <c r="L131" s="374">
        <v>7787.3099999999995</v>
      </c>
      <c r="M131" s="273"/>
      <c r="N131" s="274">
        <f t="shared" si="22"/>
        <v>-5196.3789578381966</v>
      </c>
      <c r="O131" s="273"/>
      <c r="P131" s="271"/>
      <c r="Q131" s="374">
        <v>6657.31</v>
      </c>
      <c r="R131" s="273"/>
      <c r="S131" s="199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0"/>
        <v>Véhicules usagésBénéfices marginaux</v>
      </c>
      <c r="B132" s="24" t="s">
        <v>140</v>
      </c>
      <c r="C132" s="267" t="s">
        <v>115</v>
      </c>
      <c r="D132" s="36"/>
      <c r="E132" s="25"/>
      <c r="F132" s="1178">
        <v>6988.9710023872685</v>
      </c>
      <c r="G132" s="269"/>
      <c r="H132" s="25"/>
      <c r="I132" s="1178">
        <v>0</v>
      </c>
      <c r="J132" s="223"/>
      <c r="K132" s="25"/>
      <c r="L132" s="180">
        <v>6712.41</v>
      </c>
      <c r="M132" s="223"/>
      <c r="N132" s="225">
        <f t="shared" si="22"/>
        <v>-276.56100238726867</v>
      </c>
      <c r="O132" s="223"/>
      <c r="P132" s="25"/>
      <c r="Q132" s="180">
        <v>6461.23</v>
      </c>
      <c r="R132" s="223"/>
      <c r="S132" s="197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0"/>
        <v>Véhicules usagésCsst</v>
      </c>
      <c r="B133" s="24" t="s">
        <v>140</v>
      </c>
      <c r="C133" s="267" t="s">
        <v>116</v>
      </c>
      <c r="D133" s="36"/>
      <c r="E133" s="25"/>
      <c r="F133" s="1178">
        <v>1497.6366433687001</v>
      </c>
      <c r="G133" s="269"/>
      <c r="H133" s="25"/>
      <c r="I133" s="1178">
        <v>0</v>
      </c>
      <c r="J133" s="223"/>
      <c r="K133" s="25"/>
      <c r="L133" s="180">
        <v>1206.0500000000002</v>
      </c>
      <c r="M133" s="223"/>
      <c r="N133" s="225">
        <f t="shared" si="22"/>
        <v>-291.58664336869992</v>
      </c>
      <c r="O133" s="223"/>
      <c r="P133" s="25"/>
      <c r="Q133" s="180">
        <v>327.56</v>
      </c>
      <c r="R133" s="223"/>
      <c r="S133" s="197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25" hidden="1">
      <c r="A134" t="str">
        <f t="shared" si="20"/>
        <v>Véhicules usagés[...]</v>
      </c>
      <c r="B134" s="24" t="s">
        <v>140</v>
      </c>
      <c r="C134" s="251" t="s">
        <v>42</v>
      </c>
      <c r="D134" s="275"/>
      <c r="E134" s="276"/>
      <c r="F134" s="1178">
        <v>0</v>
      </c>
      <c r="G134" s="277"/>
      <c r="H134" s="276"/>
      <c r="I134" s="1178">
        <v>0</v>
      </c>
      <c r="J134" s="278"/>
      <c r="K134" s="276"/>
      <c r="L134" s="180">
        <v>0</v>
      </c>
      <c r="M134" s="223"/>
      <c r="N134" s="225">
        <f t="shared" si="22"/>
        <v>0</v>
      </c>
      <c r="O134" s="278"/>
      <c r="P134" s="276"/>
      <c r="Q134" s="180">
        <v>0</v>
      </c>
      <c r="R134" s="278"/>
      <c r="S134" s="200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0.25">
      <c r="A135" t="str">
        <f t="shared" si="20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1018"/>
      <c r="N135" s="1019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1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0"/>
        <v>Véhicules usagésPublicité 2</v>
      </c>
      <c r="B136" s="24" t="s">
        <v>140</v>
      </c>
      <c r="C136" s="251" t="s">
        <v>118</v>
      </c>
      <c r="D136" s="36"/>
      <c r="E136" s="25"/>
      <c r="F136" s="1178">
        <v>0</v>
      </c>
      <c r="G136" s="269"/>
      <c r="H136" s="25"/>
      <c r="I136" s="1178">
        <v>0</v>
      </c>
      <c r="J136" s="223"/>
      <c r="K136" s="25"/>
      <c r="L136" s="180">
        <v>0</v>
      </c>
      <c r="M136" s="223"/>
      <c r="N136" s="225">
        <f t="shared" si="22"/>
        <v>0</v>
      </c>
      <c r="O136" s="223"/>
      <c r="P136" s="25"/>
      <c r="Q136" s="180">
        <v>0</v>
      </c>
      <c r="R136" s="223"/>
      <c r="S136" s="197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0"/>
        <v>Véhicules usagésService gratuit 2</v>
      </c>
      <c r="B137" s="24" t="s">
        <v>140</v>
      </c>
      <c r="C137" s="251" t="s">
        <v>119</v>
      </c>
      <c r="D137" s="36"/>
      <c r="E137" s="25"/>
      <c r="F137" s="1178">
        <v>0</v>
      </c>
      <c r="G137" s="269"/>
      <c r="H137" s="25"/>
      <c r="I137" s="1178">
        <v>0</v>
      </c>
      <c r="J137" s="223"/>
      <c r="K137" s="25"/>
      <c r="L137" s="180">
        <v>0</v>
      </c>
      <c r="M137" s="223"/>
      <c r="N137" s="225">
        <f t="shared" si="22"/>
        <v>0</v>
      </c>
      <c r="O137" s="223"/>
      <c r="P137" s="25"/>
      <c r="Q137" s="180">
        <v>0</v>
      </c>
      <c r="R137" s="223"/>
      <c r="S137" s="197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0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v>2830.9000000000005</v>
      </c>
      <c r="G138" s="277"/>
      <c r="H138" s="276"/>
      <c r="I138" s="177">
        <v>0</v>
      </c>
      <c r="J138" s="278"/>
      <c r="K138" s="276"/>
      <c r="L138" s="177">
        <v>3104.84</v>
      </c>
      <c r="M138" s="278"/>
      <c r="N138" s="279">
        <f t="shared" si="22"/>
        <v>273.9399999999996</v>
      </c>
      <c r="O138" s="278"/>
      <c r="P138" s="276"/>
      <c r="Q138" s="177">
        <v>2968.23</v>
      </c>
      <c r="R138" s="278"/>
      <c r="S138" s="200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0"/>
        <v>Véhicules usagésInformatique</v>
      </c>
      <c r="B139" s="24" t="s">
        <v>140</v>
      </c>
      <c r="C139" s="251" t="s">
        <v>121</v>
      </c>
      <c r="D139" s="36"/>
      <c r="E139" s="25"/>
      <c r="F139" s="1178">
        <v>4276.2000000000007</v>
      </c>
      <c r="G139" s="269"/>
      <c r="H139" s="25"/>
      <c r="I139" s="1178">
        <v>0</v>
      </c>
      <c r="J139" s="223"/>
      <c r="K139" s="25"/>
      <c r="L139" s="180">
        <v>4209</v>
      </c>
      <c r="M139" s="223"/>
      <c r="N139" s="225">
        <f t="shared" si="22"/>
        <v>-67.200000000000728</v>
      </c>
      <c r="O139" s="223"/>
      <c r="P139" s="25"/>
      <c r="Q139" s="180">
        <v>4714.5600000000004</v>
      </c>
      <c r="R139" s="223"/>
      <c r="S139" s="197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0"/>
        <v>Véhicules usagésFrais de déplacement</v>
      </c>
      <c r="B140" s="24" t="s">
        <v>140</v>
      </c>
      <c r="C140" s="251" t="s">
        <v>122</v>
      </c>
      <c r="D140" s="36"/>
      <c r="E140" s="25"/>
      <c r="F140" s="1178">
        <v>550</v>
      </c>
      <c r="G140" s="269"/>
      <c r="H140" s="25"/>
      <c r="I140" s="1178">
        <v>0</v>
      </c>
      <c r="J140" s="223"/>
      <c r="K140" s="25"/>
      <c r="L140" s="180">
        <v>315.37</v>
      </c>
      <c r="M140" s="223"/>
      <c r="N140" s="225">
        <f t="shared" si="22"/>
        <v>-234.63</v>
      </c>
      <c r="O140" s="223"/>
      <c r="P140" s="25"/>
      <c r="Q140" s="180">
        <v>175.11</v>
      </c>
      <c r="R140" s="223"/>
      <c r="S140" s="197">
        <f t="shared" si="23"/>
        <v>140.26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0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v>2209.8000000000002</v>
      </c>
      <c r="G141" s="277"/>
      <c r="H141" s="276"/>
      <c r="I141" s="177">
        <v>0</v>
      </c>
      <c r="J141" s="278"/>
      <c r="K141" s="276"/>
      <c r="L141" s="177">
        <v>2059.0600000000004</v>
      </c>
      <c r="M141" s="278"/>
      <c r="N141" s="279">
        <f t="shared" si="22"/>
        <v>-150.73999999999978</v>
      </c>
      <c r="O141" s="278"/>
      <c r="P141" s="276"/>
      <c r="Q141" s="177">
        <v>3020.92</v>
      </c>
      <c r="R141" s="278"/>
      <c r="S141" s="200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0"/>
        <v>Véhicules usagésFournitures autres</v>
      </c>
      <c r="B142" s="24" t="s">
        <v>140</v>
      </c>
      <c r="C142" s="251" t="s">
        <v>124</v>
      </c>
      <c r="D142" s="36"/>
      <c r="E142" s="25"/>
      <c r="F142" s="1178">
        <v>52.5</v>
      </c>
      <c r="G142" s="269"/>
      <c r="H142" s="25"/>
      <c r="I142" s="1178">
        <v>0</v>
      </c>
      <c r="J142" s="223"/>
      <c r="K142" s="25"/>
      <c r="L142" s="180">
        <v>38.129999999999995</v>
      </c>
      <c r="M142" s="223"/>
      <c r="N142" s="225">
        <f t="shared" si="22"/>
        <v>-14.370000000000005</v>
      </c>
      <c r="O142" s="223"/>
      <c r="P142" s="25"/>
      <c r="Q142" s="180">
        <v>0</v>
      </c>
      <c r="R142" s="223"/>
      <c r="S142" s="197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0"/>
        <v>Véhicules usagésUniformes</v>
      </c>
      <c r="B143" s="24" t="s">
        <v>140</v>
      </c>
      <c r="C143" s="251" t="s">
        <v>125</v>
      </c>
      <c r="D143" s="36"/>
      <c r="E143" s="25"/>
      <c r="F143" s="1178">
        <v>30</v>
      </c>
      <c r="G143" s="269"/>
      <c r="H143" s="25"/>
      <c r="I143" s="1178">
        <v>0</v>
      </c>
      <c r="J143" s="223"/>
      <c r="K143" s="25"/>
      <c r="L143" s="180">
        <v>0</v>
      </c>
      <c r="M143" s="223"/>
      <c r="N143" s="225">
        <f t="shared" si="22"/>
        <v>-30</v>
      </c>
      <c r="O143" s="223"/>
      <c r="P143" s="25"/>
      <c r="Q143" s="180">
        <v>167.72</v>
      </c>
      <c r="R143" s="223"/>
      <c r="S143" s="197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0"/>
        <v>Véhicules usagésPapeterie</v>
      </c>
      <c r="B144" s="24" t="s">
        <v>140</v>
      </c>
      <c r="C144" s="251" t="s">
        <v>126</v>
      </c>
      <c r="D144" s="36"/>
      <c r="E144" s="25"/>
      <c r="F144" s="1178">
        <v>472.5</v>
      </c>
      <c r="G144" s="269"/>
      <c r="H144" s="25"/>
      <c r="I144" s="1178">
        <v>0</v>
      </c>
      <c r="J144" s="223"/>
      <c r="K144" s="25"/>
      <c r="L144" s="473">
        <v>540.12</v>
      </c>
      <c r="M144" s="223"/>
      <c r="N144" s="225">
        <f t="shared" si="22"/>
        <v>67.62</v>
      </c>
      <c r="O144" s="223"/>
      <c r="P144" s="25"/>
      <c r="Q144" s="473">
        <v>438.30000000000007</v>
      </c>
      <c r="R144" s="223"/>
      <c r="S144" s="197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0"/>
        <v>Véhicules usagésTéléphone</v>
      </c>
      <c r="B145" s="24" t="s">
        <v>140</v>
      </c>
      <c r="C145" s="251" t="s">
        <v>127</v>
      </c>
      <c r="D145" s="36"/>
      <c r="E145" s="25"/>
      <c r="F145" s="1178">
        <v>189.60000000000002</v>
      </c>
      <c r="G145" s="269"/>
      <c r="H145" s="25"/>
      <c r="I145" s="1178">
        <v>0</v>
      </c>
      <c r="J145" s="223"/>
      <c r="K145" s="25"/>
      <c r="L145" s="180">
        <v>192.26999999999998</v>
      </c>
      <c r="M145" s="223"/>
      <c r="N145" s="225">
        <f t="shared" si="22"/>
        <v>2.6699999999999591</v>
      </c>
      <c r="O145" s="223"/>
      <c r="P145" s="25"/>
      <c r="Q145" s="180">
        <v>232.71</v>
      </c>
      <c r="R145" s="223"/>
      <c r="S145" s="197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0"/>
        <v>Véhicules usagésFrais postaux</v>
      </c>
      <c r="B146" s="24" t="s">
        <v>140</v>
      </c>
      <c r="C146" s="251" t="s">
        <v>128</v>
      </c>
      <c r="D146" s="36"/>
      <c r="E146" s="25"/>
      <c r="F146" s="1178">
        <v>135</v>
      </c>
      <c r="G146" s="269"/>
      <c r="H146" s="25"/>
      <c r="I146" s="1178">
        <v>0</v>
      </c>
      <c r="J146" s="223"/>
      <c r="K146" s="25"/>
      <c r="L146" s="180">
        <v>432.43000000000006</v>
      </c>
      <c r="M146" s="223"/>
      <c r="N146" s="225">
        <f t="shared" si="22"/>
        <v>297.43000000000006</v>
      </c>
      <c r="O146" s="223"/>
      <c r="P146" s="25"/>
      <c r="Q146" s="180">
        <v>300.86</v>
      </c>
      <c r="R146" s="223"/>
      <c r="S146" s="197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0"/>
        <v>Véhicules usagésDivers</v>
      </c>
      <c r="B147" s="24" t="s">
        <v>140</v>
      </c>
      <c r="C147" s="251" t="s">
        <v>129</v>
      </c>
      <c r="D147" s="36"/>
      <c r="E147" s="25"/>
      <c r="F147" s="1178">
        <v>522.30000000000007</v>
      </c>
      <c r="G147" s="269"/>
      <c r="H147" s="25"/>
      <c r="I147" s="1178">
        <v>0</v>
      </c>
      <c r="J147" s="223"/>
      <c r="K147" s="25"/>
      <c r="L147" s="180">
        <v>699.67000000000007</v>
      </c>
      <c r="M147" s="223"/>
      <c r="N147" s="225">
        <f t="shared" si="22"/>
        <v>177.37</v>
      </c>
      <c r="O147" s="223"/>
      <c r="P147" s="25"/>
      <c r="Q147" s="180">
        <v>474.29999999999995</v>
      </c>
      <c r="R147" s="223"/>
      <c r="S147" s="197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0"/>
        <v>Véhicules usagésFormation</v>
      </c>
      <c r="B148" s="24" t="s">
        <v>140</v>
      </c>
      <c r="C148" s="251" t="s">
        <v>130</v>
      </c>
      <c r="D148" s="36"/>
      <c r="E148" s="25"/>
      <c r="F148" s="1178">
        <v>372.12233999999995</v>
      </c>
      <c r="G148" s="269"/>
      <c r="H148" s="25"/>
      <c r="I148" s="1178">
        <v>0</v>
      </c>
      <c r="J148" s="223"/>
      <c r="K148" s="25"/>
      <c r="L148" s="225">
        <v>113.97</v>
      </c>
      <c r="M148" s="223"/>
      <c r="N148" s="225">
        <f t="shared" si="22"/>
        <v>-258.15233999999998</v>
      </c>
      <c r="O148" s="223"/>
      <c r="P148" s="25"/>
      <c r="Q148" s="180">
        <v>756.31000000000006</v>
      </c>
      <c r="R148" s="223"/>
      <c r="S148" s="197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0"/>
        <v>Véhicules usagésFrais bancaires</v>
      </c>
      <c r="B149" s="24" t="s">
        <v>140</v>
      </c>
      <c r="C149" s="251" t="s">
        <v>131</v>
      </c>
      <c r="D149" s="36"/>
      <c r="E149" s="25"/>
      <c r="F149" s="1178">
        <v>1989.3999360316207</v>
      </c>
      <c r="G149" s="269"/>
      <c r="H149" s="25"/>
      <c r="I149" s="1178">
        <v>0</v>
      </c>
      <c r="J149" s="223"/>
      <c r="K149" s="25"/>
      <c r="L149" s="180">
        <v>1637.42</v>
      </c>
      <c r="M149" s="223"/>
      <c r="N149" s="225">
        <f t="shared" si="22"/>
        <v>-351.97993603162058</v>
      </c>
      <c r="O149" s="223"/>
      <c r="P149" s="25"/>
      <c r="Q149" s="180">
        <v>1701.37</v>
      </c>
      <c r="R149" s="223"/>
      <c r="S149" s="197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 t="shared" si="20"/>
        <v>Véhicules usagés[...]</v>
      </c>
      <c r="B150" s="24" t="s">
        <v>140</v>
      </c>
      <c r="C150" s="251" t="s">
        <v>42</v>
      </c>
      <c r="D150" s="36"/>
      <c r="E150" s="25"/>
      <c r="F150" s="1178">
        <v>0</v>
      </c>
      <c r="G150" s="269"/>
      <c r="H150" s="25"/>
      <c r="I150" s="1178">
        <v>0</v>
      </c>
      <c r="J150" s="223"/>
      <c r="K150" s="25"/>
      <c r="L150" s="180">
        <v>0</v>
      </c>
      <c r="M150" s="223"/>
      <c r="N150" s="225">
        <f t="shared" si="22"/>
        <v>0</v>
      </c>
      <c r="O150" s="223"/>
      <c r="P150" s="25"/>
      <c r="Q150" s="180"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 t="shared" si="20"/>
        <v>Véhicules usagés[...]</v>
      </c>
      <c r="B151" s="24" t="s">
        <v>140</v>
      </c>
      <c r="C151" s="251" t="s">
        <v>42</v>
      </c>
      <c r="D151" s="36"/>
      <c r="E151" s="25"/>
      <c r="F151" s="1178">
        <v>0</v>
      </c>
      <c r="G151" s="269"/>
      <c r="H151" s="25"/>
      <c r="I151" s="1178">
        <v>0</v>
      </c>
      <c r="J151" s="223"/>
      <c r="K151" s="25"/>
      <c r="L151" s="180">
        <v>0</v>
      </c>
      <c r="M151" s="223"/>
      <c r="N151" s="225">
        <f t="shared" si="22"/>
        <v>0</v>
      </c>
      <c r="O151" s="223"/>
      <c r="P151" s="25"/>
      <c r="Q151" s="180"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 t="shared" si="20"/>
        <v>Véhicules usagés[...]</v>
      </c>
      <c r="B152" s="24" t="s">
        <v>140</v>
      </c>
      <c r="C152" s="251" t="s">
        <v>42</v>
      </c>
      <c r="D152" s="36"/>
      <c r="E152" s="25"/>
      <c r="F152" s="1178">
        <v>0</v>
      </c>
      <c r="G152" s="269"/>
      <c r="H152" s="25"/>
      <c r="I152" s="1178">
        <v>0</v>
      </c>
      <c r="J152" s="223"/>
      <c r="K152" s="25"/>
      <c r="L152" s="180">
        <v>0</v>
      </c>
      <c r="M152" s="223"/>
      <c r="N152" s="225">
        <f t="shared" si="22"/>
        <v>0</v>
      </c>
      <c r="O152" s="223"/>
      <c r="P152" s="25"/>
      <c r="Q152" s="180"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0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5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0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0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1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0"/>
        <v>Véhicules usagésRBSC used</v>
      </c>
      <c r="B156" s="24" t="s">
        <v>140</v>
      </c>
      <c r="C156" s="251" t="s">
        <v>394</v>
      </c>
      <c r="D156" s="456"/>
      <c r="E156" s="454"/>
      <c r="F156" s="1178">
        <v>7875</v>
      </c>
      <c r="G156" s="361"/>
      <c r="H156" s="454"/>
      <c r="I156" s="1178">
        <v>0</v>
      </c>
      <c r="J156" s="361"/>
      <c r="K156" s="454"/>
      <c r="L156" s="473">
        <v>5625</v>
      </c>
      <c r="M156" s="223"/>
      <c r="N156" s="225">
        <f t="shared" si="28"/>
        <v>-2250</v>
      </c>
      <c r="O156" s="361"/>
      <c r="P156" s="454"/>
      <c r="Q156" s="180">
        <v>0</v>
      </c>
      <c r="R156" s="223"/>
      <c r="S156" s="197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0"/>
        <v>Véhicules usagésProgramme 360</v>
      </c>
      <c r="B157" s="24" t="s">
        <v>140</v>
      </c>
      <c r="C157" s="251" t="s">
        <v>395</v>
      </c>
      <c r="D157" s="456"/>
      <c r="E157" s="454"/>
      <c r="F157" s="1178">
        <v>2814</v>
      </c>
      <c r="G157" s="361"/>
      <c r="H157" s="454"/>
      <c r="I157" s="1178">
        <v>0</v>
      </c>
      <c r="J157" s="361"/>
      <c r="K157" s="454"/>
      <c r="L157" s="180">
        <v>100</v>
      </c>
      <c r="M157" s="223"/>
      <c r="N157" s="225">
        <f t="shared" si="28"/>
        <v>-2714</v>
      </c>
      <c r="O157" s="361"/>
      <c r="P157" s="454"/>
      <c r="Q157" s="180">
        <v>0</v>
      </c>
      <c r="R157" s="223"/>
      <c r="S157" s="197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0"/>
        <v>Véhicules usagésProgramme used 3</v>
      </c>
      <c r="B158" s="24" t="s">
        <v>140</v>
      </c>
      <c r="C158" s="251" t="s">
        <v>146</v>
      </c>
      <c r="D158" s="36"/>
      <c r="E158" s="25"/>
      <c r="F158" s="1178">
        <v>0</v>
      </c>
      <c r="G158" s="269"/>
      <c r="H158" s="25"/>
      <c r="I158" s="1178">
        <v>0</v>
      </c>
      <c r="J158" s="223"/>
      <c r="K158" s="25"/>
      <c r="L158" s="180">
        <v>0</v>
      </c>
      <c r="M158" s="223"/>
      <c r="N158" s="225">
        <f t="shared" si="28"/>
        <v>0</v>
      </c>
      <c r="O158" s="223"/>
      <c r="P158" s="25"/>
      <c r="Q158" s="180">
        <v>0</v>
      </c>
      <c r="R158" s="223"/>
      <c r="S158" s="197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36"/>
      <c r="E159" s="25"/>
      <c r="F159" s="1178">
        <v>31112.55</v>
      </c>
      <c r="G159" s="269"/>
      <c r="H159" s="25"/>
      <c r="I159" s="1178">
        <v>0</v>
      </c>
      <c r="J159" s="223"/>
      <c r="K159" s="25"/>
      <c r="L159" s="473">
        <v>23205</v>
      </c>
      <c r="M159" s="223"/>
      <c r="N159" s="225">
        <f t="shared" si="28"/>
        <v>-7907.5499999999993</v>
      </c>
      <c r="O159" s="223"/>
      <c r="P159" s="25"/>
      <c r="Q159" s="180">
        <v>28560</v>
      </c>
      <c r="R159" s="223"/>
      <c r="S159" s="197">
        <f t="shared" si="29"/>
        <v>-5355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36"/>
      <c r="E160" s="25"/>
      <c r="F160" s="1178">
        <v>0</v>
      </c>
      <c r="G160" s="269"/>
      <c r="H160" s="25"/>
      <c r="I160" s="1178">
        <v>0</v>
      </c>
      <c r="J160" s="223"/>
      <c r="K160" s="25"/>
      <c r="L160" s="473">
        <v>0</v>
      </c>
      <c r="M160" s="223"/>
      <c r="N160" s="225">
        <f t="shared" si="28"/>
        <v>0</v>
      </c>
      <c r="O160" s="223"/>
      <c r="P160" s="25"/>
      <c r="Q160" s="180">
        <v>0</v>
      </c>
      <c r="R160" s="223"/>
      <c r="S160" s="197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36"/>
      <c r="E161" s="25"/>
      <c r="F161" s="1178">
        <v>0</v>
      </c>
      <c r="G161" s="269"/>
      <c r="H161" s="25"/>
      <c r="I161" s="1178">
        <v>0</v>
      </c>
      <c r="J161" s="223"/>
      <c r="K161" s="25"/>
      <c r="L161" s="473">
        <v>0</v>
      </c>
      <c r="M161" s="223"/>
      <c r="N161" s="225">
        <f t="shared" si="28"/>
        <v>0</v>
      </c>
      <c r="O161" s="223"/>
      <c r="P161" s="25"/>
      <c r="Q161" s="180">
        <v>0</v>
      </c>
      <c r="R161" s="223"/>
      <c r="S161" s="197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178">
        <v>0</v>
      </c>
      <c r="G162" s="269"/>
      <c r="H162" s="25"/>
      <c r="I162" s="1178">
        <v>0</v>
      </c>
      <c r="J162" s="223"/>
      <c r="K162" s="25"/>
      <c r="L162" s="473">
        <v>0</v>
      </c>
      <c r="M162" s="223"/>
      <c r="N162" s="225">
        <f t="shared" si="28"/>
        <v>0</v>
      </c>
      <c r="O162" s="223"/>
      <c r="P162" s="25"/>
      <c r="Q162" s="180">
        <v>0</v>
      </c>
      <c r="R162" s="223"/>
      <c r="S162" s="197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5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36"/>
      <c r="E164" s="25"/>
      <c r="F164" s="225"/>
      <c r="G164" s="269"/>
      <c r="H164" s="25"/>
      <c r="I164" s="225"/>
      <c r="J164" s="223"/>
      <c r="K164" s="25"/>
      <c r="L164" s="225"/>
      <c r="M164" s="223"/>
      <c r="N164" s="225"/>
      <c r="O164" s="223"/>
      <c r="P164" s="25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75218.180494516142</v>
      </c>
      <c r="G165" s="307"/>
      <c r="H165" s="305"/>
      <c r="I165" s="306">
        <f>I108-I155+I163</f>
        <v>0</v>
      </c>
      <c r="J165" s="308"/>
      <c r="K165" s="309"/>
      <c r="L165" s="306">
        <f>L108-L155+L163</f>
        <v>35997.929999999964</v>
      </c>
      <c r="M165" s="308"/>
      <c r="N165" s="306">
        <f>L165-F165</f>
        <v>-39220.250494516178</v>
      </c>
      <c r="O165" s="308"/>
      <c r="P165" s="309"/>
      <c r="Q165" s="306">
        <f>Q108-Q155+Q163</f>
        <v>45854.439999999799</v>
      </c>
      <c r="R165" s="308"/>
      <c r="S165" s="310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79" t="s">
        <v>77</v>
      </c>
      <c r="E170" s="1280"/>
      <c r="F170" s="1281"/>
      <c r="G170" s="1284" t="s">
        <v>2981</v>
      </c>
      <c r="H170" s="1280"/>
      <c r="I170" s="1281"/>
      <c r="J170" s="1284" t="s">
        <v>78</v>
      </c>
      <c r="K170" s="1280"/>
      <c r="L170" s="1281"/>
      <c r="M170" s="1284" t="s">
        <v>2442</v>
      </c>
      <c r="N170" s="1281"/>
      <c r="O170" s="1279" t="s">
        <v>79</v>
      </c>
      <c r="P170" s="1280"/>
      <c r="Q170" s="1281"/>
      <c r="R170" s="1282" t="s">
        <v>2446</v>
      </c>
      <c r="S170" s="1283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0">+B171&amp;C171</f>
        <v>Service</v>
      </c>
      <c r="B171" s="24" t="s">
        <v>147</v>
      </c>
      <c r="C171" s="251"/>
      <c r="D171" s="457" t="s">
        <v>148</v>
      </c>
      <c r="E171" s="457" t="s">
        <v>149</v>
      </c>
      <c r="F171" s="254" t="s">
        <v>83</v>
      </c>
      <c r="G171" s="252" t="s">
        <v>148</v>
      </c>
      <c r="H171" s="457" t="s">
        <v>149</v>
      </c>
      <c r="I171" s="254" t="s">
        <v>83</v>
      </c>
      <c r="J171" s="252" t="s">
        <v>148</v>
      </c>
      <c r="K171" s="457" t="s">
        <v>149</v>
      </c>
      <c r="L171" s="254" t="s">
        <v>83</v>
      </c>
      <c r="M171" s="252" t="s">
        <v>2445</v>
      </c>
      <c r="N171" s="254" t="s">
        <v>2444</v>
      </c>
      <c r="O171" s="457" t="s">
        <v>148</v>
      </c>
      <c r="P171" s="457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0"/>
        <v>ServiceM/O Client</v>
      </c>
      <c r="B172" s="24" t="s">
        <v>147</v>
      </c>
      <c r="C172" s="251" t="s">
        <v>151</v>
      </c>
      <c r="D172" s="25">
        <v>520.83042337192194</v>
      </c>
      <c r="E172" s="37">
        <v>177082.34394645347</v>
      </c>
      <c r="F172" s="37">
        <v>138832.55765401953</v>
      </c>
      <c r="G172" s="311">
        <v>0</v>
      </c>
      <c r="H172" s="37">
        <v>0</v>
      </c>
      <c r="I172" s="37">
        <v>0</v>
      </c>
      <c r="J172" s="224">
        <v>469</v>
      </c>
      <c r="K172" s="1178">
        <v>167246.25</v>
      </c>
      <c r="L172" s="180">
        <v>131620.56</v>
      </c>
      <c r="M172" s="293">
        <f>(K172-E172)/E172</f>
        <v>-5.554531144803309E-2</v>
      </c>
      <c r="N172" s="225">
        <f>L172-F172</f>
        <v>-7211.9976540195348</v>
      </c>
      <c r="O172" s="224">
        <v>454</v>
      </c>
      <c r="P172" s="1178">
        <v>156121.34</v>
      </c>
      <c r="Q172" s="180">
        <v>124615.38</v>
      </c>
      <c r="R172" s="293">
        <f>IF(O172=0,0,J172/O172)</f>
        <v>1.0330396475770924</v>
      </c>
      <c r="S172" s="197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0"/>
        <v>Service% profit / ventes</v>
      </c>
      <c r="B173" s="24" t="s">
        <v>147</v>
      </c>
      <c r="C173" s="251" t="s">
        <v>152</v>
      </c>
      <c r="D173" s="25"/>
      <c r="E173" s="1224"/>
      <c r="F173" s="227">
        <f>F172/E172</f>
        <v>0.78400000000000003</v>
      </c>
      <c r="G173" s="223"/>
      <c r="H173" s="1224"/>
      <c r="I173" s="227" t="e">
        <f>I172/H172</f>
        <v>#DIV/0!</v>
      </c>
      <c r="J173" s="224"/>
      <c r="K173" s="25"/>
      <c r="L173" s="227">
        <f>L172/K172</f>
        <v>0.78698661404964232</v>
      </c>
      <c r="M173" s="293"/>
      <c r="N173" s="225"/>
      <c r="O173" s="224"/>
      <c r="P173" s="25"/>
      <c r="Q173" s="227">
        <f>Q172/P172</f>
        <v>0.79819568548412412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0"/>
        <v>Service</v>
      </c>
      <c r="B174" s="24" t="s">
        <v>147</v>
      </c>
      <c r="C174" s="294"/>
      <c r="D174" s="276"/>
      <c r="E174" s="317">
        <f>IFERROR(E172/D172,0)</f>
        <v>340.00000000000006</v>
      </c>
      <c r="F174" s="318"/>
      <c r="G174" s="278"/>
      <c r="H174" s="317">
        <f>IFERROR(H172/G172,0)</f>
        <v>0</v>
      </c>
      <c r="I174" s="318"/>
      <c r="J174" s="302"/>
      <c r="K174" s="495">
        <f>IFERROR(K172/J172,0)</f>
        <v>356.60181236673776</v>
      </c>
      <c r="L174" s="318"/>
      <c r="M174" s="320"/>
      <c r="N174" s="279"/>
      <c r="O174" s="302"/>
      <c r="P174" s="495">
        <f>IFERROR(P172/O172,0)</f>
        <v>343.87960352422908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0"/>
        <v>ServiceM/O Garantie</v>
      </c>
      <c r="B175" s="24" t="s">
        <v>147</v>
      </c>
      <c r="C175" s="312" t="s">
        <v>153</v>
      </c>
      <c r="D175" s="316">
        <v>581.57348230261425</v>
      </c>
      <c r="E175" s="37">
        <v>84909.728416181693</v>
      </c>
      <c r="F175" s="37">
        <v>54342.226186356274</v>
      </c>
      <c r="G175" s="314">
        <v>0</v>
      </c>
      <c r="H175" s="37">
        <v>0</v>
      </c>
      <c r="I175" s="37">
        <v>0</v>
      </c>
      <c r="J175" s="314">
        <v>712</v>
      </c>
      <c r="K175" s="186">
        <v>145170.23999999999</v>
      </c>
      <c r="L175" s="180">
        <v>97488.879999999976</v>
      </c>
      <c r="M175" s="293">
        <f>(K175-E175)/E175</f>
        <v>0.70970091069487085</v>
      </c>
      <c r="N175" s="274">
        <f>L175-F175</f>
        <v>43146.653813643701</v>
      </c>
      <c r="O175" s="314">
        <v>528</v>
      </c>
      <c r="P175" s="186">
        <v>90093.509999999893</v>
      </c>
      <c r="Q175" s="180">
        <v>63229.499999999898</v>
      </c>
      <c r="R175" s="293">
        <f>IF(O175=0,0,J175/O175)</f>
        <v>1.3484848484848484</v>
      </c>
      <c r="S175" s="197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0"/>
        <v>Service% profit / ventes</v>
      </c>
      <c r="B176" s="24" t="s">
        <v>147</v>
      </c>
      <c r="C176" s="251" t="s">
        <v>152</v>
      </c>
      <c r="D176" s="25"/>
      <c r="E176" s="25"/>
      <c r="F176" s="227">
        <f>F175/E175</f>
        <v>0.6399999999999999</v>
      </c>
      <c r="G176" s="223"/>
      <c r="H176" s="25"/>
      <c r="I176" s="227" t="e">
        <f>I175/H175</f>
        <v>#DIV/0!</v>
      </c>
      <c r="J176" s="223"/>
      <c r="K176" s="25"/>
      <c r="L176" s="227">
        <f>L175/K175</f>
        <v>0.67154865900889871</v>
      </c>
      <c r="M176" s="235"/>
      <c r="N176" s="234"/>
      <c r="O176" s="223"/>
      <c r="P176" s="25"/>
      <c r="Q176" s="227">
        <f>Q175/P175</f>
        <v>0.70182080818030035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0"/>
        <v>Service</v>
      </c>
      <c r="B177" s="24" t="s">
        <v>147</v>
      </c>
      <c r="C177" s="294"/>
      <c r="D177" s="276"/>
      <c r="E177" s="276"/>
      <c r="F177" s="318"/>
      <c r="G177" s="278"/>
      <c r="H177" s="276"/>
      <c r="I177" s="318"/>
      <c r="J177" s="278"/>
      <c r="K177" s="1225"/>
      <c r="L177" s="318"/>
      <c r="M177" s="324"/>
      <c r="N177" s="299"/>
      <c r="O177" s="278"/>
      <c r="P177" s="122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0"/>
        <v>ServiceM/O Interne</v>
      </c>
      <c r="B178" s="24" t="s">
        <v>147</v>
      </c>
      <c r="C178" s="251" t="s">
        <v>154</v>
      </c>
      <c r="D178" s="25">
        <v>562.77008069840281</v>
      </c>
      <c r="E178" s="37">
        <v>135064.8193676167</v>
      </c>
      <c r="F178" s="37">
        <v>91168.75307314127</v>
      </c>
      <c r="G178" s="223">
        <v>0</v>
      </c>
      <c r="H178" s="37">
        <v>0</v>
      </c>
      <c r="I178" s="37">
        <v>0</v>
      </c>
      <c r="J178" s="224">
        <v>442</v>
      </c>
      <c r="K178" s="186">
        <v>161264.13999999998</v>
      </c>
      <c r="L178" s="180">
        <v>119390.79999999999</v>
      </c>
      <c r="M178" s="293">
        <f>(K178-E178)/E178</f>
        <v>0.19397590545821192</v>
      </c>
      <c r="N178" s="225">
        <f>L178-F178</f>
        <v>28222.046926858719</v>
      </c>
      <c r="O178" s="224">
        <v>517</v>
      </c>
      <c r="P178" s="186">
        <v>127979.11999999991</v>
      </c>
      <c r="Q178" s="180">
        <v>79544.179999999804</v>
      </c>
      <c r="R178" s="293">
        <f>IF(O178=0,0,J178/O178)</f>
        <v>0.85493230174081236</v>
      </c>
      <c r="S178" s="197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0"/>
        <v>Service% profit / ventes</v>
      </c>
      <c r="B179" s="24" t="s">
        <v>147</v>
      </c>
      <c r="C179" s="251" t="s">
        <v>152</v>
      </c>
      <c r="D179" s="25"/>
      <c r="E179" s="1224"/>
      <c r="F179" s="227">
        <f>F178/E178</f>
        <v>0.67499999999999993</v>
      </c>
      <c r="G179" s="223"/>
      <c r="H179" s="1224"/>
      <c r="I179" s="227" t="e">
        <f>I178/H178</f>
        <v>#DIV/0!</v>
      </c>
      <c r="J179" s="224"/>
      <c r="K179" s="1224"/>
      <c r="L179" s="227">
        <f>L178/K178</f>
        <v>0.74034314138282697</v>
      </c>
      <c r="M179" s="293"/>
      <c r="N179" s="225">
        <f>L179-F179</f>
        <v>6.5343141382827041E-2</v>
      </c>
      <c r="O179" s="224"/>
      <c r="P179" s="1224"/>
      <c r="Q179" s="227">
        <f>Q178/P178</f>
        <v>0.62154029501062247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0"/>
        <v>Service</v>
      </c>
      <c r="B180" s="24" t="s">
        <v>147</v>
      </c>
      <c r="C180" s="251"/>
      <c r="D180" s="25"/>
      <c r="E180" s="189"/>
      <c r="F180" s="190"/>
      <c r="G180" s="223"/>
      <c r="H180" s="189"/>
      <c r="I180" s="318"/>
      <c r="J180" s="224"/>
      <c r="K180" s="1226"/>
      <c r="L180" s="227"/>
      <c r="M180" s="293"/>
      <c r="N180" s="225"/>
      <c r="O180" s="224"/>
      <c r="P180" s="1226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0"/>
        <v>ServiceM/O Esthétique</v>
      </c>
      <c r="B181" s="24" t="s">
        <v>147</v>
      </c>
      <c r="C181" s="312" t="s">
        <v>155</v>
      </c>
      <c r="D181" s="271">
        <v>137.32193190289951</v>
      </c>
      <c r="E181" s="37">
        <v>27464.386380579897</v>
      </c>
      <c r="F181" s="37">
        <v>10985.75455223196</v>
      </c>
      <c r="G181" s="273">
        <v>0</v>
      </c>
      <c r="H181" s="37">
        <v>0</v>
      </c>
      <c r="I181" s="37">
        <v>0</v>
      </c>
      <c r="J181" s="314">
        <v>110</v>
      </c>
      <c r="K181" s="186">
        <v>19825.39</v>
      </c>
      <c r="L181" s="181">
        <v>15333.67</v>
      </c>
      <c r="M181" s="315">
        <f>IF(E181=0,0,(K181-E181)/E181)</f>
        <v>-0.27814189163830882</v>
      </c>
      <c r="N181" s="274">
        <f>L181-F181</f>
        <v>4347.9154477680404</v>
      </c>
      <c r="O181" s="314">
        <v>114</v>
      </c>
      <c r="P181" s="186">
        <v>20192.669999999998</v>
      </c>
      <c r="Q181" s="181">
        <v>6142.3099999999995</v>
      </c>
      <c r="R181" s="293">
        <f>IF(O181=0,0,J181/O181)</f>
        <v>0.96491228070175439</v>
      </c>
      <c r="S181" s="199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0"/>
        <v>Service% profit / ventes</v>
      </c>
      <c r="B182" s="24" t="s">
        <v>147</v>
      </c>
      <c r="C182" s="251" t="s">
        <v>152</v>
      </c>
      <c r="D182" s="56"/>
      <c r="E182" s="1227"/>
      <c r="F182" s="227">
        <f>IFERROR(F181/E181,0)</f>
        <v>0.4</v>
      </c>
      <c r="G182" s="232"/>
      <c r="H182" s="1227"/>
      <c r="I182" s="227">
        <f>IFERROR(I181/H181,0)</f>
        <v>0</v>
      </c>
      <c r="J182" s="228"/>
      <c r="K182" s="1227"/>
      <c r="L182" s="227">
        <f>IFERROR(L181/K181,0)</f>
        <v>0.77343598284825676</v>
      </c>
      <c r="M182" s="224">
        <f>J182-D182</f>
        <v>0</v>
      </c>
      <c r="N182" s="230"/>
      <c r="O182" s="228"/>
      <c r="P182" s="1227"/>
      <c r="Q182" s="227">
        <f>IFERROR(Q181/P181,0)</f>
        <v>0.30418513252581258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0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0"/>
        <v>ServiceAjustement M/O</v>
      </c>
      <c r="B184" s="24" t="s">
        <v>147</v>
      </c>
      <c r="C184" s="251" t="s">
        <v>156</v>
      </c>
      <c r="D184" s="25"/>
      <c r="E184" s="25"/>
      <c r="F184" s="225">
        <v>-8234.2792433165414</v>
      </c>
      <c r="G184" s="223"/>
      <c r="H184" s="37"/>
      <c r="I184" s="37">
        <v>0</v>
      </c>
      <c r="J184" s="224"/>
      <c r="K184" s="37"/>
      <c r="L184" s="37">
        <v>-7875.89</v>
      </c>
      <c r="M184" s="228"/>
      <c r="N184" s="225">
        <f>L184-F184</f>
        <v>358.38924331654107</v>
      </c>
      <c r="O184" s="224"/>
      <c r="P184" s="37"/>
      <c r="Q184" s="37">
        <v>-10362.11</v>
      </c>
      <c r="R184" s="207"/>
      <c r="S184" s="197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0"/>
        <v>ServiceSous-total M/O</v>
      </c>
      <c r="B185" s="24" t="s">
        <v>147</v>
      </c>
      <c r="C185" s="333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5">
        <f>IF(O185=0,0,J185/O185)</f>
        <v>0</v>
      </c>
      <c r="S185" s="335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0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0.67627943998481799</v>
      </c>
      <c r="G186" s="64"/>
      <c r="H186" s="62"/>
      <c r="I186" s="234" t="e">
        <f>I185/H185</f>
        <v>#DIV/0!</v>
      </c>
      <c r="J186" s="64"/>
      <c r="K186" s="65"/>
      <c r="L186" s="234">
        <f>L185/K185</f>
        <v>0.72128404836885263</v>
      </c>
      <c r="M186" s="64"/>
      <c r="N186" s="63">
        <f>N185/F185</f>
        <v>0.23986138680881897</v>
      </c>
      <c r="O186" s="64"/>
      <c r="P186" s="65"/>
      <c r="Q186" s="234">
        <f>Q185/P185</f>
        <v>0.6672874618673692</v>
      </c>
      <c r="R186" s="64"/>
      <c r="S186" s="262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0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0"/>
        <v>ServiceSous-traitement</v>
      </c>
      <c r="B188" s="24" t="s">
        <v>147</v>
      </c>
      <c r="C188" s="251" t="s">
        <v>159</v>
      </c>
      <c r="D188" s="37"/>
      <c r="E188" s="37">
        <v>14668.833564464305</v>
      </c>
      <c r="F188" s="37">
        <v>1686.9158599133953</v>
      </c>
      <c r="G188" s="224"/>
      <c r="H188" s="37">
        <v>0</v>
      </c>
      <c r="I188" s="37">
        <v>0</v>
      </c>
      <c r="J188" s="224"/>
      <c r="K188" s="1178">
        <v>29096.89</v>
      </c>
      <c r="L188" s="180">
        <v>3896.2500000000014</v>
      </c>
      <c r="M188" s="1186">
        <f>IF(E188=0,0,(K188-E188)/E188)</f>
        <v>0.98358580265632711</v>
      </c>
      <c r="N188" s="225">
        <f>L188-F188</f>
        <v>2209.3341400866061</v>
      </c>
      <c r="O188" s="224"/>
      <c r="P188" s="1178">
        <v>4033.71</v>
      </c>
      <c r="Q188" s="180">
        <v>225.4</v>
      </c>
      <c r="R188" s="293">
        <f>IF(O188=0,0,J188/O188)</f>
        <v>0</v>
      </c>
      <c r="S188" s="197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0"/>
        <v>Service% profit / ventes</v>
      </c>
      <c r="B189" s="24" t="s">
        <v>147</v>
      </c>
      <c r="C189" s="251" t="s">
        <v>152</v>
      </c>
      <c r="D189" s="25"/>
      <c r="E189" s="1224"/>
      <c r="F189" s="227">
        <f>IFERROR(F188/E188,0)</f>
        <v>0.11500000000000002</v>
      </c>
      <c r="G189" s="223"/>
      <c r="H189" s="1224"/>
      <c r="I189" s="227">
        <f>IFERROR(I188/H188,0)</f>
        <v>0</v>
      </c>
      <c r="J189" s="228"/>
      <c r="K189" s="1227"/>
      <c r="L189" s="227">
        <f>IFERROR(L188/K188,0)</f>
        <v>0.1339060635002573</v>
      </c>
      <c r="M189" s="228"/>
      <c r="N189" s="230"/>
      <c r="O189" s="228"/>
      <c r="P189" s="1227"/>
      <c r="Q189" s="227">
        <f>IFERROR(Q188/P188,0)</f>
        <v>5.5879079061211638E-2</v>
      </c>
      <c r="R189" s="228"/>
      <c r="S189" s="326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0"/>
        <v>Service</v>
      </c>
      <c r="B190" s="24" t="s">
        <v>147</v>
      </c>
      <c r="C190" s="251"/>
      <c r="D190" s="25"/>
      <c r="E190" s="1224"/>
      <c r="F190" s="227"/>
      <c r="G190" s="223"/>
      <c r="H190" s="1224"/>
      <c r="I190" s="227"/>
      <c r="J190" s="228"/>
      <c r="K190" s="1227"/>
      <c r="L190" s="227"/>
      <c r="M190" s="228"/>
      <c r="N190" s="230"/>
      <c r="O190" s="228"/>
      <c r="P190" s="1227"/>
      <c r="Q190" s="227"/>
      <c r="R190" s="228"/>
      <c r="S190" s="326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0"/>
        <v>ServiceM.O. Recond. MCPA</v>
      </c>
      <c r="B191" s="24" t="s">
        <v>147</v>
      </c>
      <c r="C191" s="251" t="s">
        <v>160</v>
      </c>
      <c r="D191" s="25"/>
      <c r="E191" s="37">
        <v>0</v>
      </c>
      <c r="F191" s="37">
        <v>0</v>
      </c>
      <c r="G191" s="223"/>
      <c r="H191" s="37">
        <v>0</v>
      </c>
      <c r="I191" s="37">
        <v>0</v>
      </c>
      <c r="J191" s="228"/>
      <c r="K191" s="1178">
        <v>0</v>
      </c>
      <c r="L191" s="227">
        <v>0</v>
      </c>
      <c r="M191" s="228"/>
      <c r="N191" s="230"/>
      <c r="O191" s="228"/>
      <c r="P191" s="1178">
        <v>0</v>
      </c>
      <c r="Q191" s="227">
        <v>0</v>
      </c>
      <c r="R191" s="228"/>
      <c r="S191" s="326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0"/>
        <v>Service% profit / ventes</v>
      </c>
      <c r="B192" s="24" t="s">
        <v>147</v>
      </c>
      <c r="C192" s="251" t="s">
        <v>152</v>
      </c>
      <c r="D192" s="25"/>
      <c r="E192" s="1224"/>
      <c r="F192" s="227">
        <f>IF(F191=0,0,F191/E191)</f>
        <v>0</v>
      </c>
      <c r="G192" s="223"/>
      <c r="H192" s="1224"/>
      <c r="I192" s="227">
        <f>IF(I191=0,0,I191/H191)</f>
        <v>0</v>
      </c>
      <c r="J192" s="228"/>
      <c r="K192" s="1227"/>
      <c r="L192" s="227">
        <f>IF(L191=0,0,L191/K191)</f>
        <v>0</v>
      </c>
      <c r="M192" s="228"/>
      <c r="N192" s="230"/>
      <c r="O192" s="228"/>
      <c r="P192" s="1227"/>
      <c r="Q192" s="227">
        <f>IF(Q191=0,0,Q191/P191)</f>
        <v>0</v>
      </c>
      <c r="R192" s="228"/>
      <c r="S192" s="326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0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0"/>
        <v>ServiceTotal Mécanique</v>
      </c>
      <c r="B194" s="24" t="s">
        <v>147</v>
      </c>
      <c r="C194" s="256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1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0"/>
        <v>Service</v>
      </c>
      <c r="B195" s="24" t="s">
        <v>147</v>
      </c>
      <c r="C195" s="322"/>
      <c r="D195" s="323"/>
      <c r="E195" s="323"/>
      <c r="F195" s="34">
        <f>F194/E194</f>
        <v>0.65753285514736126</v>
      </c>
      <c r="G195" s="31"/>
      <c r="H195" s="323"/>
      <c r="I195" s="34" t="e">
        <f>I194/H194</f>
        <v>#DIV/0!</v>
      </c>
      <c r="J195" s="31"/>
      <c r="K195" s="323"/>
      <c r="L195" s="34">
        <f>L194/K194</f>
        <v>0.68858068547685647</v>
      </c>
      <c r="M195" s="33"/>
      <c r="N195" s="34">
        <f>N194/F194</f>
        <v>0.24611076735171561</v>
      </c>
      <c r="O195" s="31"/>
      <c r="P195" s="323"/>
      <c r="Q195" s="34">
        <f>Q194/P194</f>
        <v>0.66109740629463298</v>
      </c>
      <c r="R195" s="33"/>
      <c r="S195" s="259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0"/>
        <v>Service</v>
      </c>
      <c r="B196" s="24" t="s">
        <v>147</v>
      </c>
      <c r="C196" s="260"/>
      <c r="D196" s="56"/>
      <c r="E196" s="56"/>
      <c r="F196" s="234"/>
      <c r="G196" s="232"/>
      <c r="H196" s="56"/>
      <c r="I196" s="234"/>
      <c r="J196" s="232"/>
      <c r="K196" s="56"/>
      <c r="L196" s="672"/>
      <c r="M196" s="235"/>
      <c r="N196" s="234"/>
      <c r="O196" s="232"/>
      <c r="P196" s="56"/>
      <c r="Q196" s="234"/>
      <c r="R196" s="235"/>
      <c r="S196" s="262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0"/>
        <v>ServiceDEPENSES</v>
      </c>
      <c r="B197" s="24" t="s">
        <v>147</v>
      </c>
      <c r="C197" s="263" t="s">
        <v>99</v>
      </c>
      <c r="D197" s="25"/>
      <c r="E197" s="25"/>
      <c r="F197" s="225"/>
      <c r="G197" s="223"/>
      <c r="H197" s="25"/>
      <c r="I197" s="225"/>
      <c r="J197" s="223"/>
      <c r="K197" s="25"/>
      <c r="L197" s="265"/>
      <c r="M197" s="223"/>
      <c r="N197" s="265"/>
      <c r="O197" s="223"/>
      <c r="P197" s="25"/>
      <c r="Q197" s="265"/>
      <c r="R197" s="223"/>
      <c r="S197" s="26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0"/>
        <v>ServiceSalaires cadres</v>
      </c>
      <c r="B198" s="24" t="s">
        <v>147</v>
      </c>
      <c r="C198" s="267" t="s">
        <v>109</v>
      </c>
      <c r="D198" s="25"/>
      <c r="E198" s="25"/>
      <c r="F198" s="1178">
        <v>31216.820468611852</v>
      </c>
      <c r="G198" s="223"/>
      <c r="H198" s="25"/>
      <c r="I198" s="1178">
        <v>0</v>
      </c>
      <c r="J198" s="223"/>
      <c r="K198" s="25"/>
      <c r="L198" s="180">
        <v>37042.310000000005</v>
      </c>
      <c r="M198" s="223"/>
      <c r="N198" s="225">
        <f t="shared" ref="N198:N229" si="31">L198-F198</f>
        <v>5825.4895313881534</v>
      </c>
      <c r="O198" s="223"/>
      <c r="P198" s="25"/>
      <c r="Q198" s="180">
        <v>22277.85</v>
      </c>
      <c r="R198" s="223"/>
      <c r="S198" s="197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0"/>
        <v>ServiceSalaires commis</v>
      </c>
      <c r="B199" s="24" t="s">
        <v>147</v>
      </c>
      <c r="C199" s="268" t="s">
        <v>110</v>
      </c>
      <c r="D199" s="36"/>
      <c r="E199" s="25"/>
      <c r="F199" s="177">
        <v>16857.410919540231</v>
      </c>
      <c r="G199" s="269"/>
      <c r="H199" s="25"/>
      <c r="I199" s="177">
        <v>0</v>
      </c>
      <c r="J199" s="223"/>
      <c r="K199" s="25"/>
      <c r="L199" s="180">
        <v>14537.449999999999</v>
      </c>
      <c r="M199" s="223"/>
      <c r="N199" s="225">
        <f t="shared" si="31"/>
        <v>-2319.9609195402318</v>
      </c>
      <c r="O199" s="223"/>
      <c r="P199" s="25"/>
      <c r="Q199" s="180">
        <v>13419.07</v>
      </c>
      <c r="R199" s="223"/>
      <c r="S199" s="197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0"/>
        <v>ServiceSalaires autres</v>
      </c>
      <c r="B200" s="24" t="s">
        <v>147</v>
      </c>
      <c r="C200" s="267" t="s">
        <v>111</v>
      </c>
      <c r="D200" s="270"/>
      <c r="E200" s="271"/>
      <c r="F200" s="1178">
        <v>13937.057471264368</v>
      </c>
      <c r="G200" s="272"/>
      <c r="H200" s="271"/>
      <c r="I200" s="1178">
        <v>0</v>
      </c>
      <c r="J200" s="273"/>
      <c r="K200" s="271"/>
      <c r="L200" s="181">
        <v>15154.349999999999</v>
      </c>
      <c r="M200" s="273"/>
      <c r="N200" s="274">
        <f t="shared" si="31"/>
        <v>1217.2925287356302</v>
      </c>
      <c r="O200" s="273"/>
      <c r="P200" s="271"/>
      <c r="Q200" s="181">
        <v>10353.01</v>
      </c>
      <c r="R200" s="273"/>
      <c r="S200" s="199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0"/>
        <v>ServiceSalaires spécialistes</v>
      </c>
      <c r="B201" s="24" t="s">
        <v>147</v>
      </c>
      <c r="C201" s="267" t="s">
        <v>112</v>
      </c>
      <c r="D201" s="36"/>
      <c r="E201" s="25"/>
      <c r="F201" s="1178">
        <v>43254.929666666663</v>
      </c>
      <c r="G201" s="269"/>
      <c r="H201" s="25"/>
      <c r="I201" s="1178">
        <v>0</v>
      </c>
      <c r="J201" s="223"/>
      <c r="K201" s="25"/>
      <c r="L201" s="180">
        <v>42786.59</v>
      </c>
      <c r="M201" s="223"/>
      <c r="N201" s="225">
        <f t="shared" si="31"/>
        <v>-468.33966666666674</v>
      </c>
      <c r="O201" s="223"/>
      <c r="P201" s="25"/>
      <c r="Q201" s="180">
        <v>33095.020000000004</v>
      </c>
      <c r="R201" s="223"/>
      <c r="S201" s="197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0"/>
        <v>Service[...]</v>
      </c>
      <c r="B202" s="24" t="s">
        <v>147</v>
      </c>
      <c r="C202" s="251" t="s">
        <v>42</v>
      </c>
      <c r="D202" s="36"/>
      <c r="E202" s="25"/>
      <c r="F202" s="1178">
        <v>0</v>
      </c>
      <c r="G202" s="269"/>
      <c r="H202" s="25"/>
      <c r="I202" s="1178">
        <v>0</v>
      </c>
      <c r="J202" s="223"/>
      <c r="K202" s="25"/>
      <c r="L202" s="180">
        <v>0</v>
      </c>
      <c r="M202" s="223"/>
      <c r="N202" s="225">
        <f t="shared" si="31"/>
        <v>0</v>
      </c>
      <c r="O202" s="223"/>
      <c r="P202" s="25"/>
      <c r="Q202" s="180">
        <v>0</v>
      </c>
      <c r="R202" s="223"/>
      <c r="S202" s="197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0"/>
        <v>Service[...]</v>
      </c>
      <c r="B203" s="24" t="s">
        <v>147</v>
      </c>
      <c r="C203" s="251" t="s">
        <v>42</v>
      </c>
      <c r="D203" s="36"/>
      <c r="E203" s="25"/>
      <c r="F203" s="1178">
        <v>0</v>
      </c>
      <c r="G203" s="269"/>
      <c r="H203" s="25"/>
      <c r="I203" s="1178">
        <v>0</v>
      </c>
      <c r="J203" s="223"/>
      <c r="K203" s="25"/>
      <c r="L203" s="180">
        <v>0</v>
      </c>
      <c r="M203" s="223"/>
      <c r="N203" s="225">
        <f t="shared" si="31"/>
        <v>0</v>
      </c>
      <c r="O203" s="223"/>
      <c r="P203" s="25"/>
      <c r="Q203" s="180">
        <v>0</v>
      </c>
      <c r="R203" s="223"/>
      <c r="S203" s="197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0"/>
        <v>Service[...]</v>
      </c>
      <c r="B204" s="24" t="s">
        <v>147</v>
      </c>
      <c r="C204" s="251" t="s">
        <v>42</v>
      </c>
      <c r="D204" s="36"/>
      <c r="E204" s="25"/>
      <c r="F204" s="1178">
        <v>0</v>
      </c>
      <c r="G204" s="269"/>
      <c r="H204" s="25"/>
      <c r="I204" s="1178">
        <v>0</v>
      </c>
      <c r="J204" s="223"/>
      <c r="K204" s="25"/>
      <c r="L204" s="180">
        <v>0</v>
      </c>
      <c r="M204" s="223"/>
      <c r="N204" s="225">
        <f t="shared" si="31"/>
        <v>0</v>
      </c>
      <c r="O204" s="223"/>
      <c r="P204" s="25"/>
      <c r="Q204" s="180"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0"/>
        <v>ServiceSalaires en absences</v>
      </c>
      <c r="B205" s="24" t="s">
        <v>147</v>
      </c>
      <c r="C205" s="268" t="s">
        <v>113</v>
      </c>
      <c r="D205" s="36"/>
      <c r="E205" s="25"/>
      <c r="F205" s="1178">
        <v>28847.103401729903</v>
      </c>
      <c r="G205" s="269"/>
      <c r="H205" s="25"/>
      <c r="I205" s="1178">
        <v>0</v>
      </c>
      <c r="J205" s="223"/>
      <c r="K205" s="25"/>
      <c r="L205" s="180">
        <v>32930.740000000005</v>
      </c>
      <c r="M205" s="223"/>
      <c r="N205" s="225">
        <f t="shared" si="31"/>
        <v>4083.6365982701027</v>
      </c>
      <c r="O205" s="223"/>
      <c r="P205" s="25"/>
      <c r="Q205" s="180">
        <v>18858.170000000002</v>
      </c>
      <c r="R205" s="223"/>
      <c r="S205" s="197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0"/>
        <v>ServiceDéduction à la source</v>
      </c>
      <c r="B206" s="24" t="s">
        <v>147</v>
      </c>
      <c r="C206" s="267" t="s">
        <v>114</v>
      </c>
      <c r="D206" s="270"/>
      <c r="E206" s="271"/>
      <c r="F206" s="374">
        <v>34635.406728747708</v>
      </c>
      <c r="G206" s="272"/>
      <c r="H206" s="271"/>
      <c r="I206" s="374">
        <v>0</v>
      </c>
      <c r="J206" s="273"/>
      <c r="K206" s="271"/>
      <c r="L206" s="181">
        <v>41066.720000000001</v>
      </c>
      <c r="M206" s="273"/>
      <c r="N206" s="274">
        <f t="shared" si="31"/>
        <v>6431.3132712522929</v>
      </c>
      <c r="O206" s="273"/>
      <c r="P206" s="271"/>
      <c r="Q206" s="181">
        <v>29327.309999999998</v>
      </c>
      <c r="R206" s="273"/>
      <c r="S206" s="199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0"/>
        <v>ServiceBénéfices marginaux</v>
      </c>
      <c r="B207" s="24" t="s">
        <v>147</v>
      </c>
      <c r="C207" s="267" t="s">
        <v>115</v>
      </c>
      <c r="D207" s="36"/>
      <c r="E207" s="25"/>
      <c r="F207" s="1178">
        <v>18646.87909294854</v>
      </c>
      <c r="G207" s="269"/>
      <c r="H207" s="25"/>
      <c r="I207" s="1178">
        <v>0</v>
      </c>
      <c r="J207" s="223"/>
      <c r="K207" s="25"/>
      <c r="L207" s="180">
        <v>19645.54</v>
      </c>
      <c r="M207" s="223"/>
      <c r="N207" s="225">
        <f t="shared" si="31"/>
        <v>998.66090705146053</v>
      </c>
      <c r="O207" s="223"/>
      <c r="P207" s="25"/>
      <c r="Q207" s="180">
        <v>12670.059999999998</v>
      </c>
      <c r="R207" s="223"/>
      <c r="S207" s="197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0"/>
        <v>ServiceCsst</v>
      </c>
      <c r="B208" s="24" t="s">
        <v>147</v>
      </c>
      <c r="C208" s="267" t="s">
        <v>116</v>
      </c>
      <c r="D208" s="36"/>
      <c r="E208" s="25"/>
      <c r="F208" s="1178">
        <v>3995.7598056318302</v>
      </c>
      <c r="G208" s="269"/>
      <c r="H208" s="25"/>
      <c r="I208" s="1178">
        <v>0</v>
      </c>
      <c r="J208" s="223"/>
      <c r="K208" s="25"/>
      <c r="L208" s="180">
        <v>6893.85</v>
      </c>
      <c r="M208" s="746"/>
      <c r="N208" s="194">
        <f t="shared" si="31"/>
        <v>2898.0901943681702</v>
      </c>
      <c r="O208" s="746"/>
      <c r="P208" s="747"/>
      <c r="Q208" s="177">
        <v>3047.71</v>
      </c>
      <c r="R208" s="746"/>
      <c r="S208" s="748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0"/>
        <v>Service[...]</v>
      </c>
      <c r="B209" s="24" t="s">
        <v>147</v>
      </c>
      <c r="C209" s="251" t="s">
        <v>42</v>
      </c>
      <c r="D209" s="275"/>
      <c r="E209" s="276"/>
      <c r="F209" s="1178">
        <v>0</v>
      </c>
      <c r="G209" s="277"/>
      <c r="H209" s="276"/>
      <c r="I209" s="1178">
        <v>0</v>
      </c>
      <c r="J209" s="278"/>
      <c r="K209" s="276"/>
      <c r="L209" s="180">
        <v>0</v>
      </c>
      <c r="M209" s="278"/>
      <c r="N209" s="279">
        <f t="shared" si="31"/>
        <v>0</v>
      </c>
      <c r="O209" s="278"/>
      <c r="P209" s="276"/>
      <c r="Q209" s="180">
        <v>0</v>
      </c>
      <c r="R209" s="278"/>
      <c r="S209" s="200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0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1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0"/>
        <v>ServicePublicité 2</v>
      </c>
      <c r="B211" s="24" t="s">
        <v>147</v>
      </c>
      <c r="C211" s="251" t="s">
        <v>118</v>
      </c>
      <c r="D211" s="36"/>
      <c r="E211" s="25"/>
      <c r="F211" s="1178">
        <v>14066.09416522</v>
      </c>
      <c r="G211" s="269"/>
      <c r="H211" s="25"/>
      <c r="I211" s="1178">
        <v>0</v>
      </c>
      <c r="J211" s="223"/>
      <c r="K211" s="25"/>
      <c r="L211" s="180">
        <v>13526.48</v>
      </c>
      <c r="M211" s="223"/>
      <c r="N211" s="225">
        <f t="shared" si="31"/>
        <v>-539.61416522000036</v>
      </c>
      <c r="O211" s="223"/>
      <c r="P211" s="25"/>
      <c r="Q211" s="180">
        <v>16115.76</v>
      </c>
      <c r="R211" s="223"/>
      <c r="S211" s="197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0"/>
        <v>ServiceService gratuit 2</v>
      </c>
      <c r="B212" s="24" t="s">
        <v>147</v>
      </c>
      <c r="C212" s="251" t="s">
        <v>119</v>
      </c>
      <c r="D212" s="36"/>
      <c r="E212" s="25"/>
      <c r="F212" s="1178">
        <v>8275</v>
      </c>
      <c r="G212" s="269"/>
      <c r="H212" s="25"/>
      <c r="I212" s="1178">
        <v>0</v>
      </c>
      <c r="J212" s="223"/>
      <c r="K212" s="25"/>
      <c r="L212" s="180">
        <v>10036.48</v>
      </c>
      <c r="M212" s="223"/>
      <c r="N212" s="225">
        <f t="shared" si="31"/>
        <v>1761.4799999999996</v>
      </c>
      <c r="O212" s="223"/>
      <c r="P212" s="25"/>
      <c r="Q212" s="180">
        <v>9685.8900000000012</v>
      </c>
      <c r="R212" s="223"/>
      <c r="S212" s="197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0"/>
        <v>ServiceFrais véhicules de cie</v>
      </c>
      <c r="B213" s="24" t="s">
        <v>147</v>
      </c>
      <c r="C213" s="294" t="s">
        <v>120</v>
      </c>
      <c r="D213" s="275"/>
      <c r="E213" s="276"/>
      <c r="F213" s="177">
        <v>17178.5</v>
      </c>
      <c r="G213" s="277"/>
      <c r="H213" s="276"/>
      <c r="I213" s="177">
        <v>0</v>
      </c>
      <c r="J213" s="278"/>
      <c r="K213" s="276"/>
      <c r="L213" s="180">
        <v>18402.96</v>
      </c>
      <c r="M213" s="278"/>
      <c r="N213" s="279">
        <f t="shared" si="31"/>
        <v>1224.4599999999991</v>
      </c>
      <c r="O213" s="278"/>
      <c r="P213" s="276"/>
      <c r="Q213" s="180">
        <v>16489.599999999999</v>
      </c>
      <c r="R213" s="278"/>
      <c r="S213" s="200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0"/>
        <v>ServiceInformatique</v>
      </c>
      <c r="B214" s="24" t="s">
        <v>147</v>
      </c>
      <c r="C214" s="251" t="s">
        <v>121</v>
      </c>
      <c r="D214" s="36"/>
      <c r="E214" s="25"/>
      <c r="F214" s="1178">
        <v>18100.5</v>
      </c>
      <c r="G214" s="269"/>
      <c r="H214" s="25"/>
      <c r="I214" s="1178">
        <v>0</v>
      </c>
      <c r="J214" s="223"/>
      <c r="K214" s="25"/>
      <c r="L214" s="181">
        <v>19310.989999999998</v>
      </c>
      <c r="M214" s="223"/>
      <c r="N214" s="225">
        <f t="shared" si="31"/>
        <v>1210.489999999998</v>
      </c>
      <c r="O214" s="223"/>
      <c r="P214" s="25"/>
      <c r="Q214" s="181">
        <v>17361.900000000001</v>
      </c>
      <c r="R214" s="223"/>
      <c r="S214" s="197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0"/>
        <v>ServiceFrais de déplacement</v>
      </c>
      <c r="B215" s="24" t="s">
        <v>147</v>
      </c>
      <c r="C215" s="251" t="s">
        <v>122</v>
      </c>
      <c r="D215" s="36"/>
      <c r="E215" s="25"/>
      <c r="F215" s="1178">
        <v>1375</v>
      </c>
      <c r="G215" s="269"/>
      <c r="H215" s="25"/>
      <c r="I215" s="1178">
        <v>0</v>
      </c>
      <c r="J215" s="223"/>
      <c r="K215" s="25"/>
      <c r="L215" s="180">
        <v>1540.7500000000002</v>
      </c>
      <c r="M215" s="223"/>
      <c r="N215" s="225">
        <f t="shared" si="31"/>
        <v>165.75000000000023</v>
      </c>
      <c r="O215" s="223"/>
      <c r="P215" s="25"/>
      <c r="Q215" s="180">
        <v>287.77999999999997</v>
      </c>
      <c r="R215" s="223"/>
      <c r="S215" s="197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0"/>
        <v>ServiceServices extérieurs</v>
      </c>
      <c r="B216" s="24" t="s">
        <v>147</v>
      </c>
      <c r="C216" s="294" t="s">
        <v>123</v>
      </c>
      <c r="D216" s="275"/>
      <c r="E216" s="276"/>
      <c r="F216" s="177">
        <v>16924.5</v>
      </c>
      <c r="G216" s="277"/>
      <c r="H216" s="276"/>
      <c r="I216" s="177">
        <v>0</v>
      </c>
      <c r="J216" s="278"/>
      <c r="K216" s="276"/>
      <c r="L216" s="180">
        <v>7894.6200000000008</v>
      </c>
      <c r="M216" s="278"/>
      <c r="N216" s="279">
        <f t="shared" si="31"/>
        <v>-9029.8799999999992</v>
      </c>
      <c r="O216" s="278"/>
      <c r="P216" s="276"/>
      <c r="Q216" s="180">
        <v>14927.25</v>
      </c>
      <c r="R216" s="278"/>
      <c r="S216" s="200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0"/>
        <v>ServiceFournitures d'atelier</v>
      </c>
      <c r="B217" s="24" t="s">
        <v>147</v>
      </c>
      <c r="C217" s="251" t="s">
        <v>350</v>
      </c>
      <c r="D217" s="36"/>
      <c r="E217" s="25"/>
      <c r="F217" s="1178">
        <v>0</v>
      </c>
      <c r="G217" s="269"/>
      <c r="H217" s="25"/>
      <c r="I217" s="1178">
        <v>0</v>
      </c>
      <c r="J217" s="223"/>
      <c r="K217" s="25"/>
      <c r="L217" s="181">
        <v>0</v>
      </c>
      <c r="M217" s="223"/>
      <c r="N217" s="225">
        <f t="shared" si="31"/>
        <v>0</v>
      </c>
      <c r="O217" s="223"/>
      <c r="P217" s="25"/>
      <c r="Q217" s="181"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0"/>
        <v>ServiceFournitures autres</v>
      </c>
      <c r="B218" s="24" t="s">
        <v>147</v>
      </c>
      <c r="C218" s="251" t="s">
        <v>124</v>
      </c>
      <c r="D218" s="36"/>
      <c r="E218" s="25"/>
      <c r="F218" s="1178">
        <v>3300</v>
      </c>
      <c r="G218" s="269"/>
      <c r="H218" s="25"/>
      <c r="I218" s="1178">
        <v>0</v>
      </c>
      <c r="J218" s="223"/>
      <c r="K218" s="25"/>
      <c r="L218" s="180">
        <v>8003.3899999999994</v>
      </c>
      <c r="M218" s="223"/>
      <c r="N218" s="225">
        <f t="shared" si="31"/>
        <v>4703.3899999999994</v>
      </c>
      <c r="O218" s="223"/>
      <c r="P218" s="25"/>
      <c r="Q218" s="180">
        <v>3045.41</v>
      </c>
      <c r="R218" s="223"/>
      <c r="S218" s="197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0"/>
        <v>ServiceUniformes</v>
      </c>
      <c r="B219" s="24" t="s">
        <v>147</v>
      </c>
      <c r="C219" s="251" t="s">
        <v>125</v>
      </c>
      <c r="D219" s="36"/>
      <c r="E219" s="25"/>
      <c r="F219" s="1178">
        <v>3000</v>
      </c>
      <c r="G219" s="269"/>
      <c r="H219" s="25"/>
      <c r="I219" s="1178">
        <v>0</v>
      </c>
      <c r="J219" s="223"/>
      <c r="K219" s="25"/>
      <c r="L219" s="180">
        <v>3043.52</v>
      </c>
      <c r="M219" s="223"/>
      <c r="N219" s="225">
        <f t="shared" si="31"/>
        <v>43.519999999999982</v>
      </c>
      <c r="O219" s="223"/>
      <c r="P219" s="25"/>
      <c r="Q219" s="180">
        <v>3953.04</v>
      </c>
      <c r="R219" s="223"/>
      <c r="S219" s="197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0"/>
        <v>ServicePapeterie</v>
      </c>
      <c r="B220" s="24" t="s">
        <v>147</v>
      </c>
      <c r="C220" s="251" t="s">
        <v>126</v>
      </c>
      <c r="D220" s="36"/>
      <c r="E220" s="25"/>
      <c r="F220" s="1178">
        <v>1181.25</v>
      </c>
      <c r="G220" s="269"/>
      <c r="H220" s="25"/>
      <c r="I220" s="1178">
        <v>0</v>
      </c>
      <c r="J220" s="223"/>
      <c r="K220" s="25"/>
      <c r="L220" s="473">
        <v>1952.8</v>
      </c>
      <c r="M220" s="223"/>
      <c r="N220" s="225">
        <f t="shared" si="31"/>
        <v>771.55</v>
      </c>
      <c r="O220" s="223"/>
      <c r="P220" s="25"/>
      <c r="Q220" s="473">
        <v>986.2</v>
      </c>
      <c r="R220" s="223"/>
      <c r="S220" s="197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0"/>
        <v>ServiceTéléphone</v>
      </c>
      <c r="B221" s="24" t="s">
        <v>147</v>
      </c>
      <c r="C221" s="251" t="s">
        <v>127</v>
      </c>
      <c r="D221" s="36"/>
      <c r="E221" s="25"/>
      <c r="F221" s="1178">
        <v>360</v>
      </c>
      <c r="G221" s="269"/>
      <c r="H221" s="25"/>
      <c r="I221" s="1178">
        <v>0</v>
      </c>
      <c r="J221" s="223"/>
      <c r="K221" s="25"/>
      <c r="L221" s="180">
        <v>327.56</v>
      </c>
      <c r="M221" s="223"/>
      <c r="N221" s="225">
        <f t="shared" si="31"/>
        <v>-32.44</v>
      </c>
      <c r="O221" s="223"/>
      <c r="P221" s="25"/>
      <c r="Q221" s="180">
        <v>214.33</v>
      </c>
      <c r="R221" s="223"/>
      <c r="S221" s="197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0"/>
        <v>ServiceFrais postaux</v>
      </c>
      <c r="B222" s="24" t="s">
        <v>147</v>
      </c>
      <c r="C222" s="251" t="s">
        <v>128</v>
      </c>
      <c r="D222" s="36"/>
      <c r="E222" s="25"/>
      <c r="F222" s="1178">
        <v>337.5</v>
      </c>
      <c r="G222" s="269"/>
      <c r="H222" s="25"/>
      <c r="I222" s="1178">
        <v>0</v>
      </c>
      <c r="J222" s="223"/>
      <c r="K222" s="25"/>
      <c r="L222" s="180">
        <v>592.46</v>
      </c>
      <c r="M222" s="223"/>
      <c r="N222" s="225">
        <f t="shared" si="31"/>
        <v>254.96000000000004</v>
      </c>
      <c r="O222" s="223"/>
      <c r="P222" s="25"/>
      <c r="Q222" s="180">
        <v>133.06</v>
      </c>
      <c r="R222" s="223"/>
      <c r="S222" s="197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0"/>
        <v>ServiceDivers</v>
      </c>
      <c r="B223" s="24" t="s">
        <v>147</v>
      </c>
      <c r="C223" s="251" t="s">
        <v>129</v>
      </c>
      <c r="D223" s="36"/>
      <c r="E223" s="25"/>
      <c r="F223" s="1178">
        <v>1305.75</v>
      </c>
      <c r="G223" s="269"/>
      <c r="H223" s="25"/>
      <c r="I223" s="1178">
        <v>0</v>
      </c>
      <c r="J223" s="223"/>
      <c r="K223" s="25"/>
      <c r="L223" s="180">
        <v>3749.2200000000003</v>
      </c>
      <c r="M223" s="223"/>
      <c r="N223" s="225">
        <f t="shared" si="31"/>
        <v>2443.4700000000003</v>
      </c>
      <c r="O223" s="223"/>
      <c r="P223" s="25"/>
      <c r="Q223" s="180">
        <v>1957.21</v>
      </c>
      <c r="R223" s="223"/>
      <c r="S223" s="197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0"/>
        <v>ServiceFormation</v>
      </c>
      <c r="B224" s="24" t="s">
        <v>147</v>
      </c>
      <c r="C224" s="251" t="s">
        <v>130</v>
      </c>
      <c r="D224" s="36"/>
      <c r="E224" s="25"/>
      <c r="F224" s="1178">
        <v>4931.1458500000008</v>
      </c>
      <c r="G224" s="269"/>
      <c r="H224" s="25"/>
      <c r="I224" s="1178">
        <v>0</v>
      </c>
      <c r="J224" s="223"/>
      <c r="K224" s="25"/>
      <c r="L224" s="180">
        <v>4493.8900000000003</v>
      </c>
      <c r="M224" s="223"/>
      <c r="N224" s="225">
        <f t="shared" si="31"/>
        <v>-437.25585000000046</v>
      </c>
      <c r="O224" s="223"/>
      <c r="P224" s="25"/>
      <c r="Q224" s="180">
        <v>1198.73</v>
      </c>
      <c r="R224" s="223"/>
      <c r="S224" s="197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0"/>
        <v>ServiceFrais bancaires</v>
      </c>
      <c r="B225" s="24" t="s">
        <v>147</v>
      </c>
      <c r="C225" s="251" t="s">
        <v>131</v>
      </c>
      <c r="D225" s="36"/>
      <c r="E225" s="25"/>
      <c r="F225" s="1178">
        <v>4973.4998400790519</v>
      </c>
      <c r="G225" s="269"/>
      <c r="H225" s="25"/>
      <c r="I225" s="1178">
        <v>0</v>
      </c>
      <c r="J225" s="223"/>
      <c r="K225" s="25"/>
      <c r="L225" s="180">
        <v>4093.58</v>
      </c>
      <c r="M225" s="223"/>
      <c r="N225" s="225">
        <f t="shared" si="31"/>
        <v>-879.91984007905194</v>
      </c>
      <c r="O225" s="223"/>
      <c r="P225" s="25"/>
      <c r="Q225" s="180">
        <v>3828.13</v>
      </c>
      <c r="R225" s="223"/>
      <c r="S225" s="197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0"/>
        <v>Service[...]</v>
      </c>
      <c r="B226" s="24" t="s">
        <v>147</v>
      </c>
      <c r="C226" s="251" t="s">
        <v>42</v>
      </c>
      <c r="D226" s="36"/>
      <c r="E226" s="25"/>
      <c r="F226" s="1178">
        <v>0</v>
      </c>
      <c r="G226" s="269"/>
      <c r="H226" s="25"/>
      <c r="I226" s="1178">
        <v>0</v>
      </c>
      <c r="J226" s="223"/>
      <c r="K226" s="25"/>
      <c r="L226" s="180">
        <v>0</v>
      </c>
      <c r="M226" s="223"/>
      <c r="N226" s="225">
        <f t="shared" si="31"/>
        <v>0</v>
      </c>
      <c r="O226" s="223"/>
      <c r="P226" s="25"/>
      <c r="Q226" s="180">
        <v>0</v>
      </c>
      <c r="R226" s="223"/>
      <c r="S226" s="197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B227" s="24" t="s">
        <v>147</v>
      </c>
      <c r="C227" s="251" t="s">
        <v>42</v>
      </c>
      <c r="D227" s="36"/>
      <c r="E227" s="25"/>
      <c r="F227" s="1178">
        <v>0</v>
      </c>
      <c r="G227" s="269"/>
      <c r="H227" s="25"/>
      <c r="I227" s="1178">
        <v>0</v>
      </c>
      <c r="J227" s="223"/>
      <c r="K227" s="25"/>
      <c r="L227" s="180">
        <v>0</v>
      </c>
      <c r="M227" s="223"/>
      <c r="N227" s="225">
        <f t="shared" si="31"/>
        <v>0</v>
      </c>
      <c r="O227" s="223"/>
      <c r="P227" s="25"/>
      <c r="Q227" s="180">
        <v>0</v>
      </c>
      <c r="R227" s="223"/>
      <c r="S227" s="197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0"/>
        <v>Service[...]</v>
      </c>
      <c r="B228" s="24" t="s">
        <v>147</v>
      </c>
      <c r="C228" s="251" t="s">
        <v>42</v>
      </c>
      <c r="D228" s="36"/>
      <c r="E228" s="25"/>
      <c r="F228" s="1178">
        <v>0</v>
      </c>
      <c r="G228" s="269"/>
      <c r="H228" s="25"/>
      <c r="I228" s="1178">
        <v>0</v>
      </c>
      <c r="J228" s="223"/>
      <c r="K228" s="25"/>
      <c r="L228" s="180">
        <v>0</v>
      </c>
      <c r="M228" s="223"/>
      <c r="N228" s="225">
        <f t="shared" si="31"/>
        <v>0</v>
      </c>
      <c r="O228" s="223"/>
      <c r="P228" s="25"/>
      <c r="Q228" s="180">
        <v>0</v>
      </c>
      <c r="R228" s="223"/>
      <c r="S228" s="197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5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1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36"/>
      <c r="E232" s="25"/>
      <c r="F232" s="225"/>
      <c r="G232" s="269"/>
      <c r="H232" s="25"/>
      <c r="I232" s="225"/>
      <c r="J232" s="223"/>
      <c r="K232" s="25"/>
      <c r="L232" s="225"/>
      <c r="M232" s="223"/>
      <c r="N232" s="225"/>
      <c r="O232" s="223"/>
      <c r="P232" s="25"/>
      <c r="Q232" s="225"/>
      <c r="R232" s="223"/>
      <c r="S232" s="197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2081.8206719057052</v>
      </c>
      <c r="G233" s="307"/>
      <c r="H233" s="305"/>
      <c r="I233" s="306">
        <f>I194-I231</f>
        <v>0</v>
      </c>
      <c r="J233" s="308"/>
      <c r="K233" s="309"/>
      <c r="L233" s="306">
        <f>L194-L231</f>
        <v>52828.01999999996</v>
      </c>
      <c r="M233" s="308"/>
      <c r="N233" s="306">
        <f>L233-F233</f>
        <v>50746.199328094255</v>
      </c>
      <c r="O233" s="308"/>
      <c r="P233" s="309"/>
      <c r="Q233" s="306">
        <f>Q194-Q231</f>
        <v>30162.169999999751</v>
      </c>
      <c r="R233" s="308"/>
      <c r="S233" s="310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" thickTop="1">
      <c r="B238" s="24"/>
      <c r="C238" s="250"/>
      <c r="D238" s="1279" t="s">
        <v>77</v>
      </c>
      <c r="E238" s="1280"/>
      <c r="F238" s="1281"/>
      <c r="G238" s="1284" t="s">
        <v>2981</v>
      </c>
      <c r="H238" s="1280"/>
      <c r="I238" s="1281"/>
      <c r="J238" s="1284" t="s">
        <v>78</v>
      </c>
      <c r="K238" s="1280"/>
      <c r="L238" s="1281"/>
      <c r="M238" s="1284" t="s">
        <v>2442</v>
      </c>
      <c r="N238" s="1281"/>
      <c r="O238" s="1279" t="s">
        <v>79</v>
      </c>
      <c r="P238" s="1280"/>
      <c r="Q238" s="1281"/>
      <c r="R238" s="1282" t="s">
        <v>2446</v>
      </c>
      <c r="S238" s="1283"/>
      <c r="T238" s="456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25">
      <c r="A239" t="str">
        <f t="shared" ref="A239:A284" si="33">+B239&amp;C239</f>
        <v>Carrosserie</v>
      </c>
      <c r="B239" s="24" t="s">
        <v>163</v>
      </c>
      <c r="C239" s="251"/>
      <c r="D239" s="457" t="s">
        <v>148</v>
      </c>
      <c r="E239" s="457" t="s">
        <v>149</v>
      </c>
      <c r="F239" s="254" t="s">
        <v>83</v>
      </c>
      <c r="G239" s="252" t="s">
        <v>148</v>
      </c>
      <c r="H239" s="457" t="s">
        <v>149</v>
      </c>
      <c r="I239" s="254" t="s">
        <v>83</v>
      </c>
      <c r="J239" s="252" t="s">
        <v>148</v>
      </c>
      <c r="K239" s="457" t="s">
        <v>149</v>
      </c>
      <c r="L239" s="254" t="s">
        <v>83</v>
      </c>
      <c r="M239" s="252" t="s">
        <v>148</v>
      </c>
      <c r="N239" s="254" t="s">
        <v>2444</v>
      </c>
      <c r="O239" s="457" t="s">
        <v>148</v>
      </c>
      <c r="P239" s="457" t="s">
        <v>149</v>
      </c>
      <c r="Q239" s="254" t="s">
        <v>83</v>
      </c>
      <c r="R239" s="252" t="s">
        <v>150</v>
      </c>
      <c r="S239" s="255" t="s">
        <v>83</v>
      </c>
      <c r="T239" s="457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25">
      <c r="A240" t="str">
        <f t="shared" si="33"/>
        <v>Carrosserie</v>
      </c>
      <c r="B240" s="24" t="s">
        <v>163</v>
      </c>
      <c r="C240" s="251"/>
      <c r="D240" s="457"/>
      <c r="E240" s="457"/>
      <c r="F240" s="254"/>
      <c r="G240" s="252"/>
      <c r="H240" s="457"/>
      <c r="I240" s="254"/>
      <c r="J240" s="252"/>
      <c r="K240" s="1178"/>
      <c r="L240" s="180"/>
      <c r="M240" s="252"/>
      <c r="N240" s="254"/>
      <c r="O240" s="457"/>
      <c r="P240" s="457"/>
      <c r="Q240" s="254"/>
      <c r="R240" s="252"/>
      <c r="S240" s="255"/>
      <c r="T240" s="457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25">
      <c r="A241" t="str">
        <f t="shared" si="33"/>
        <v>CarrosserieM/O Sous-traitement</v>
      </c>
      <c r="B241" s="24" t="s">
        <v>163</v>
      </c>
      <c r="C241" s="251" t="s">
        <v>164</v>
      </c>
      <c r="D241" s="457">
        <v>0</v>
      </c>
      <c r="E241" s="37">
        <v>0</v>
      </c>
      <c r="F241" s="37">
        <v>0</v>
      </c>
      <c r="G241" s="311">
        <v>0</v>
      </c>
      <c r="H241" s="37">
        <v>0</v>
      </c>
      <c r="I241" s="37">
        <v>0</v>
      </c>
      <c r="J241" s="224">
        <v>1</v>
      </c>
      <c r="K241" s="1178">
        <v>0</v>
      </c>
      <c r="L241" s="180">
        <v>0</v>
      </c>
      <c r="M241" s="293">
        <f>IFERROR((K241-E241)/E241,0)</f>
        <v>0</v>
      </c>
      <c r="N241" s="225">
        <f>L241-F241</f>
        <v>0</v>
      </c>
      <c r="O241" s="224">
        <v>23</v>
      </c>
      <c r="P241" s="1178">
        <v>4257.66</v>
      </c>
      <c r="Q241" s="180">
        <v>1263.3999999999978</v>
      </c>
      <c r="R241" s="293">
        <f>IF(O241=0,0,J241/O241)</f>
        <v>4.3478260869565216E-2</v>
      </c>
      <c r="S241" s="197">
        <f>L241-Q241</f>
        <v>-1263.3999999999978</v>
      </c>
      <c r="T241" s="457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25">
      <c r="A242" t="str">
        <f t="shared" si="33"/>
        <v>Carrosserie% profit / ventes</v>
      </c>
      <c r="B242" s="24" t="s">
        <v>163</v>
      </c>
      <c r="C242" s="251" t="s">
        <v>152</v>
      </c>
      <c r="D242" s="457"/>
      <c r="E242" s="1224"/>
      <c r="F242" s="227">
        <f>IFERROR(F241/E241,0)</f>
        <v>0</v>
      </c>
      <c r="G242" s="223"/>
      <c r="H242" s="1224"/>
      <c r="I242" s="227">
        <f>IFERROR(I241/H241,0)</f>
        <v>0</v>
      </c>
      <c r="J242" s="224"/>
      <c r="K242" s="25"/>
      <c r="L242" s="227">
        <f>IFERROR(L241/K241,0)</f>
        <v>0</v>
      </c>
      <c r="M242" s="293"/>
      <c r="N242" s="1010">
        <f>IFERROR(N241/M241,0)</f>
        <v>0</v>
      </c>
      <c r="O242" s="224"/>
      <c r="P242" s="25"/>
      <c r="Q242" s="227">
        <f>IFERROR(Q241/P241,0)</f>
        <v>0.29673576565531251</v>
      </c>
      <c r="R242" s="224"/>
      <c r="S242" s="197">
        <f>IFERROR(S241/R241,0)</f>
        <v>-29058.19999999995</v>
      </c>
      <c r="T242" s="457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25">
      <c r="A243" t="str">
        <f t="shared" si="33"/>
        <v>Carrosserie</v>
      </c>
      <c r="B243" s="24" t="s">
        <v>163</v>
      </c>
      <c r="C243" s="251"/>
      <c r="D243" s="457"/>
      <c r="E243" s="191"/>
      <c r="F243" s="192"/>
      <c r="G243" s="252"/>
      <c r="H243" s="191"/>
      <c r="I243" s="192"/>
      <c r="J243" s="252"/>
      <c r="K243" s="457"/>
      <c r="L243" s="254"/>
      <c r="M243" s="252"/>
      <c r="N243" s="254"/>
      <c r="O243" s="252"/>
      <c r="P243" s="457"/>
      <c r="Q243" s="254"/>
      <c r="R243" s="210"/>
      <c r="S243" s="255"/>
      <c r="T243" s="457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25">
      <c r="A244" t="str">
        <f t="shared" si="33"/>
        <v>CarrosserieM/O Carrosserie</v>
      </c>
      <c r="B244" s="24" t="s">
        <v>163</v>
      </c>
      <c r="C244" s="312" t="s">
        <v>165</v>
      </c>
      <c r="D244" s="271">
        <v>0</v>
      </c>
      <c r="E244" s="37">
        <v>0</v>
      </c>
      <c r="F244" s="37">
        <v>0</v>
      </c>
      <c r="G244" s="313">
        <v>0</v>
      </c>
      <c r="H244" s="37">
        <v>0</v>
      </c>
      <c r="I244" s="37">
        <v>0</v>
      </c>
      <c r="J244" s="314">
        <v>0</v>
      </c>
      <c r="K244" s="186">
        <v>0</v>
      </c>
      <c r="L244" s="181">
        <v>0</v>
      </c>
      <c r="M244" s="315">
        <f>IFERROR((K244-E244)/E244,0)</f>
        <v>0</v>
      </c>
      <c r="N244" s="274">
        <f>L244-F244</f>
        <v>0</v>
      </c>
      <c r="O244" s="314">
        <v>0</v>
      </c>
      <c r="P244" s="186">
        <v>0</v>
      </c>
      <c r="Q244" s="181">
        <v>0</v>
      </c>
      <c r="R244" s="293">
        <f>IF(O244=0,0,J244/O244)</f>
        <v>0</v>
      </c>
      <c r="S244" s="199">
        <f>L244-Q244</f>
        <v>0</v>
      </c>
      <c r="T244" s="453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25">
      <c r="A245" t="str">
        <f t="shared" si="33"/>
        <v>Carrosserie% profit / ventes</v>
      </c>
      <c r="B245" s="24" t="s">
        <v>163</v>
      </c>
      <c r="C245" s="251" t="s">
        <v>152</v>
      </c>
      <c r="D245" s="25"/>
      <c r="E245" s="1224"/>
      <c r="F245" s="227" t="e">
        <f>F244/E244</f>
        <v>#DIV/0!</v>
      </c>
      <c r="G245" s="223"/>
      <c r="H245" s="1224"/>
      <c r="I245" s="227" t="e">
        <f>I244/H244</f>
        <v>#DIV/0!</v>
      </c>
      <c r="J245" s="224"/>
      <c r="K245" s="25"/>
      <c r="L245" s="227">
        <f>IFERROR(L244/K244,0)</f>
        <v>0</v>
      </c>
      <c r="M245" s="293"/>
      <c r="N245" s="225">
        <f>IFERROR(N244/F244,0)</f>
        <v>0</v>
      </c>
      <c r="O245" s="224"/>
      <c r="P245" s="25"/>
      <c r="Q245" s="227">
        <f>IFERROR(Q244/P244,0)</f>
        <v>0</v>
      </c>
      <c r="R245" s="224"/>
      <c r="S245" s="197">
        <f>IF(Q244=0,0,S244/Q244)</f>
        <v>0</v>
      </c>
      <c r="T245" s="453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25">
      <c r="A246" t="str">
        <f t="shared" si="33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453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25">
      <c r="A247" t="str">
        <f t="shared" si="33"/>
        <v>CarrosserieM/O Esthétique Carr.</v>
      </c>
      <c r="B247" s="24" t="s">
        <v>163</v>
      </c>
      <c r="C247" s="312" t="s">
        <v>166</v>
      </c>
      <c r="D247" s="316">
        <v>0</v>
      </c>
      <c r="E247" s="37">
        <v>0</v>
      </c>
      <c r="F247" s="37">
        <v>0</v>
      </c>
      <c r="G247" s="314">
        <v>0</v>
      </c>
      <c r="H247" s="37">
        <v>0</v>
      </c>
      <c r="I247" s="37">
        <v>0</v>
      </c>
      <c r="J247" s="314">
        <v>0</v>
      </c>
      <c r="K247" s="1178">
        <v>0</v>
      </c>
      <c r="L247" s="180"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178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453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0.25">
      <c r="A248" t="str">
        <f t="shared" si="33"/>
        <v>Carrosserie% profit / ventes</v>
      </c>
      <c r="B248" s="24" t="s">
        <v>163</v>
      </c>
      <c r="C248" s="251" t="s">
        <v>152</v>
      </c>
      <c r="D248" s="25"/>
      <c r="E248" s="25"/>
      <c r="F248" s="227" t="e">
        <f>F247/E247</f>
        <v>#DIV/0!</v>
      </c>
      <c r="G248" s="223"/>
      <c r="H248" s="25"/>
      <c r="I248" s="227" t="e">
        <f>I247/H247</f>
        <v>#DIV/0!</v>
      </c>
      <c r="J248" s="223"/>
      <c r="K248" s="25"/>
      <c r="L248" s="227">
        <f>IFERROR(L247/K247,0)</f>
        <v>0</v>
      </c>
      <c r="M248" s="235"/>
      <c r="N248" s="234">
        <f>IF(L247=0,0,N247/L247)</f>
        <v>0</v>
      </c>
      <c r="O248" s="223"/>
      <c r="P248" s="25"/>
      <c r="Q248" s="227">
        <f>IFERROR(Q247/P247,0)</f>
        <v>0</v>
      </c>
      <c r="R248" s="235"/>
      <c r="S248" s="262">
        <f>IF(Q247=0,0,S247/Q247)</f>
        <v>0</v>
      </c>
      <c r="T248" s="453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" thickBot="1">
      <c r="A249" t="str">
        <f t="shared" si="33"/>
        <v>Carrosserie</v>
      </c>
      <c r="B249" s="24" t="s">
        <v>163</v>
      </c>
      <c r="C249" s="251"/>
      <c r="D249" s="25"/>
      <c r="E249" s="25"/>
      <c r="F249" s="227"/>
      <c r="G249" s="223"/>
      <c r="H249" s="25"/>
      <c r="I249" s="227"/>
      <c r="J249" s="223"/>
      <c r="K249" s="25"/>
      <c r="L249" s="227"/>
      <c r="M249" s="235"/>
      <c r="N249" s="234"/>
      <c r="O249" s="223"/>
      <c r="P249" s="25"/>
      <c r="Q249" s="227"/>
      <c r="R249" s="235"/>
      <c r="S249" s="262"/>
      <c r="T249" s="453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" thickTop="1">
      <c r="A250" t="str">
        <f t="shared" si="33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1">
        <f>L250-Q250</f>
        <v>-1263.3999999999978</v>
      </c>
      <c r="T250" s="453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" thickBot="1">
      <c r="A251" t="str">
        <f t="shared" si="33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 t="e">
        <f>I250/H250</f>
        <v>#DIV/0!</v>
      </c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IF(P250=0,0,Q250/P250)</f>
        <v>0.29673576565531251</v>
      </c>
      <c r="R251" s="33"/>
      <c r="S251" s="259">
        <f>IF(R250=0,0,S250/R250)</f>
        <v>4257.66</v>
      </c>
      <c r="T251" s="453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1"/>
      <c r="D252" s="25"/>
      <c r="E252" s="25"/>
      <c r="F252" s="225"/>
      <c r="G252" s="223"/>
      <c r="H252" s="25"/>
      <c r="I252" s="225"/>
      <c r="J252" s="223"/>
      <c r="K252" s="25"/>
      <c r="L252" s="265"/>
      <c r="M252" s="223"/>
      <c r="N252" s="265"/>
      <c r="O252" s="223"/>
      <c r="P252" s="25"/>
      <c r="Q252" s="265"/>
      <c r="R252" s="223"/>
      <c r="S252" s="26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0.25">
      <c r="A253" t="str">
        <f t="shared" si="33"/>
        <v>CarrosserieDEPENSES</v>
      </c>
      <c r="B253" s="24" t="s">
        <v>163</v>
      </c>
      <c r="C253" s="263" t="s">
        <v>99</v>
      </c>
      <c r="D253" s="25"/>
      <c r="E253" s="25"/>
      <c r="F253" s="225"/>
      <c r="G253" s="223"/>
      <c r="H253" s="25"/>
      <c r="I253" s="225"/>
      <c r="J253" s="223"/>
      <c r="K253" s="25"/>
      <c r="L253" s="265"/>
      <c r="M253" s="223"/>
      <c r="N253" s="265"/>
      <c r="O253" s="223"/>
      <c r="P253" s="25"/>
      <c r="Q253" s="265"/>
      <c r="R253" s="223"/>
      <c r="S253" s="26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25">
      <c r="A254" t="str">
        <f t="shared" si="33"/>
        <v>CarrosserieSalaires cadres</v>
      </c>
      <c r="B254" s="24" t="s">
        <v>163</v>
      </c>
      <c r="C254" s="267" t="s">
        <v>109</v>
      </c>
      <c r="D254" s="25"/>
      <c r="E254" s="25"/>
      <c r="F254" s="1178">
        <v>0</v>
      </c>
      <c r="G254" s="223"/>
      <c r="H254" s="25"/>
      <c r="I254" s="1178">
        <v>0</v>
      </c>
      <c r="J254" s="223"/>
      <c r="K254" s="25"/>
      <c r="L254" s="180">
        <v>0</v>
      </c>
      <c r="M254" s="223"/>
      <c r="N254" s="225">
        <f t="shared" ref="N254:N284" si="34">L254-F254</f>
        <v>0</v>
      </c>
      <c r="O254" s="223"/>
      <c r="P254" s="25"/>
      <c r="Q254" s="180">
        <v>912.81</v>
      </c>
      <c r="R254" s="223"/>
      <c r="S254" s="197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25">
      <c r="A255" t="str">
        <f t="shared" si="33"/>
        <v>CarrosserieSalaires commis</v>
      </c>
      <c r="B255" s="24" t="s">
        <v>163</v>
      </c>
      <c r="C255" s="268" t="s">
        <v>110</v>
      </c>
      <c r="D255" s="36"/>
      <c r="E255" s="25"/>
      <c r="F255" s="177">
        <v>0</v>
      </c>
      <c r="G255" s="269"/>
      <c r="H255" s="25"/>
      <c r="I255" s="177">
        <v>0</v>
      </c>
      <c r="J255" s="223"/>
      <c r="K255" s="25"/>
      <c r="L255" s="180">
        <v>0</v>
      </c>
      <c r="M255" s="223"/>
      <c r="N255" s="225">
        <f t="shared" si="34"/>
        <v>0</v>
      </c>
      <c r="O255" s="223"/>
      <c r="P255" s="25"/>
      <c r="Q255" s="180">
        <v>1002.02</v>
      </c>
      <c r="R255" s="223"/>
      <c r="S255" s="197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25">
      <c r="A256" t="str">
        <f t="shared" si="33"/>
        <v>CarrosserieSalaires autres</v>
      </c>
      <c r="B256" s="24" t="s">
        <v>163</v>
      </c>
      <c r="C256" s="267" t="s">
        <v>111</v>
      </c>
      <c r="D256" s="270"/>
      <c r="E256" s="271"/>
      <c r="F256" s="1178">
        <v>0</v>
      </c>
      <c r="G256" s="272"/>
      <c r="H256" s="271"/>
      <c r="I256" s="1178">
        <v>0</v>
      </c>
      <c r="J256" s="273"/>
      <c r="K256" s="271"/>
      <c r="L256" s="181">
        <v>0</v>
      </c>
      <c r="M256" s="273"/>
      <c r="N256" s="274">
        <f t="shared" si="34"/>
        <v>0</v>
      </c>
      <c r="O256" s="273"/>
      <c r="P256" s="271"/>
      <c r="Q256" s="181">
        <v>57</v>
      </c>
      <c r="R256" s="273"/>
      <c r="S256" s="199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25">
      <c r="A257" t="str">
        <f t="shared" si="33"/>
        <v>CarrosserieSalaires spécialistes</v>
      </c>
      <c r="B257" s="24" t="s">
        <v>163</v>
      </c>
      <c r="C257" s="267" t="s">
        <v>112</v>
      </c>
      <c r="D257" s="36"/>
      <c r="E257" s="25"/>
      <c r="F257" s="1178">
        <v>0</v>
      </c>
      <c r="G257" s="269"/>
      <c r="H257" s="25"/>
      <c r="I257" s="1178">
        <v>0</v>
      </c>
      <c r="J257" s="223"/>
      <c r="K257" s="25"/>
      <c r="L257" s="180">
        <v>0</v>
      </c>
      <c r="M257" s="223"/>
      <c r="N257" s="225">
        <f t="shared" si="34"/>
        <v>0</v>
      </c>
      <c r="O257" s="223"/>
      <c r="P257" s="25"/>
      <c r="Q257" s="180">
        <v>0</v>
      </c>
      <c r="R257" s="223"/>
      <c r="S257" s="197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25" hidden="1">
      <c r="A258" t="str">
        <f t="shared" si="33"/>
        <v>Carrosserie[...]</v>
      </c>
      <c r="B258" s="24" t="s">
        <v>163</v>
      </c>
      <c r="C258" s="251" t="s">
        <v>42</v>
      </c>
      <c r="D258" s="36"/>
      <c r="E258" s="25"/>
      <c r="F258" s="1178">
        <v>0</v>
      </c>
      <c r="G258" s="269"/>
      <c r="H258" s="25"/>
      <c r="I258" s="1178">
        <v>0</v>
      </c>
      <c r="J258" s="223"/>
      <c r="K258" s="25"/>
      <c r="L258" s="180">
        <v>0</v>
      </c>
      <c r="M258" s="223"/>
      <c r="N258" s="225">
        <f t="shared" si="34"/>
        <v>0</v>
      </c>
      <c r="O258" s="223"/>
      <c r="P258" s="25"/>
      <c r="Q258" s="180">
        <v>0</v>
      </c>
      <c r="R258" s="223"/>
      <c r="S258" s="197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25" hidden="1">
      <c r="A259" t="str">
        <f t="shared" si="33"/>
        <v>Carrosserie[...]</v>
      </c>
      <c r="B259" s="24" t="s">
        <v>163</v>
      </c>
      <c r="C259" s="251" t="s">
        <v>42</v>
      </c>
      <c r="D259" s="36"/>
      <c r="E259" s="25"/>
      <c r="F259" s="1178">
        <v>0</v>
      </c>
      <c r="G259" s="269"/>
      <c r="H259" s="25"/>
      <c r="I259" s="1178">
        <v>0</v>
      </c>
      <c r="J259" s="223"/>
      <c r="K259" s="25"/>
      <c r="L259" s="180">
        <v>0</v>
      </c>
      <c r="M259" s="223"/>
      <c r="N259" s="225">
        <f t="shared" si="34"/>
        <v>0</v>
      </c>
      <c r="O259" s="223"/>
      <c r="P259" s="25"/>
      <c r="Q259" s="180">
        <v>0</v>
      </c>
      <c r="R259" s="223"/>
      <c r="S259" s="197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25" hidden="1">
      <c r="A260" t="str">
        <f t="shared" si="33"/>
        <v>Carrosserie[...]</v>
      </c>
      <c r="B260" s="24" t="s">
        <v>163</v>
      </c>
      <c r="C260" s="251" t="s">
        <v>42</v>
      </c>
      <c r="D260" s="36"/>
      <c r="E260" s="25"/>
      <c r="F260" s="1178">
        <v>0</v>
      </c>
      <c r="G260" s="269"/>
      <c r="H260" s="25"/>
      <c r="I260" s="1178">
        <v>0</v>
      </c>
      <c r="J260" s="223"/>
      <c r="K260" s="25"/>
      <c r="L260" s="180">
        <v>0</v>
      </c>
      <c r="M260" s="223"/>
      <c r="N260" s="225">
        <f t="shared" si="34"/>
        <v>0</v>
      </c>
      <c r="O260" s="223"/>
      <c r="P260" s="25"/>
      <c r="Q260" s="180">
        <v>0</v>
      </c>
      <c r="R260" s="223"/>
      <c r="S260" s="197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3"/>
        <v>CarrosserieSalaires en absences</v>
      </c>
      <c r="B261" s="24" t="s">
        <v>163</v>
      </c>
      <c r="C261" s="268" t="s">
        <v>113</v>
      </c>
      <c r="D261" s="36"/>
      <c r="E261" s="25"/>
      <c r="F261" s="177">
        <v>0</v>
      </c>
      <c r="G261" s="269"/>
      <c r="H261" s="25"/>
      <c r="I261" s="177">
        <v>0</v>
      </c>
      <c r="J261" s="223"/>
      <c r="K261" s="25"/>
      <c r="L261" s="180">
        <v>0</v>
      </c>
      <c r="M261" s="223"/>
      <c r="N261" s="225">
        <f t="shared" si="34"/>
        <v>0</v>
      </c>
      <c r="O261" s="223"/>
      <c r="P261" s="25"/>
      <c r="Q261" s="180">
        <v>317.27</v>
      </c>
      <c r="R261" s="223"/>
      <c r="S261" s="197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3"/>
        <v>CarrosserieDéduction à la source</v>
      </c>
      <c r="B262" s="24" t="s">
        <v>163</v>
      </c>
      <c r="C262" s="267" t="s">
        <v>114</v>
      </c>
      <c r="D262" s="270"/>
      <c r="E262" s="271"/>
      <c r="F262" s="1178">
        <v>0</v>
      </c>
      <c r="G262" s="272"/>
      <c r="H262" s="271"/>
      <c r="I262" s="1178">
        <v>0</v>
      </c>
      <c r="J262" s="273"/>
      <c r="K262" s="271"/>
      <c r="L262" s="181">
        <v>0</v>
      </c>
      <c r="M262" s="273"/>
      <c r="N262" s="274">
        <f t="shared" si="34"/>
        <v>0</v>
      </c>
      <c r="O262" s="273"/>
      <c r="P262" s="271"/>
      <c r="Q262" s="181">
        <v>657.51</v>
      </c>
      <c r="R262" s="273"/>
      <c r="S262" s="199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3"/>
        <v>CarrosserieBénéfices marginaux</v>
      </c>
      <c r="B263" s="24" t="s">
        <v>163</v>
      </c>
      <c r="C263" s="267" t="s">
        <v>115</v>
      </c>
      <c r="D263" s="36"/>
      <c r="E263" s="25"/>
      <c r="F263" s="1178">
        <v>0</v>
      </c>
      <c r="G263" s="269"/>
      <c r="H263" s="25"/>
      <c r="I263" s="1178">
        <v>0</v>
      </c>
      <c r="J263" s="223"/>
      <c r="K263" s="25"/>
      <c r="L263" s="180">
        <v>0</v>
      </c>
      <c r="M263" s="223"/>
      <c r="N263" s="225">
        <f t="shared" si="34"/>
        <v>0</v>
      </c>
      <c r="O263" s="223"/>
      <c r="P263" s="25"/>
      <c r="Q263" s="180">
        <v>144.38</v>
      </c>
      <c r="R263" s="223"/>
      <c r="S263" s="197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>
      <c r="A264" t="str">
        <f t="shared" si="33"/>
        <v>CarrosserieCsst</v>
      </c>
      <c r="B264" s="24" t="s">
        <v>163</v>
      </c>
      <c r="C264" s="267" t="s">
        <v>116</v>
      </c>
      <c r="D264" s="36"/>
      <c r="E264" s="25"/>
      <c r="F264" s="1178">
        <v>0</v>
      </c>
      <c r="G264" s="269"/>
      <c r="H264" s="25"/>
      <c r="I264" s="1178">
        <v>0</v>
      </c>
      <c r="J264" s="223"/>
      <c r="K264" s="25"/>
      <c r="L264" s="180">
        <v>0</v>
      </c>
      <c r="M264" s="746"/>
      <c r="N264" s="194">
        <f t="shared" si="34"/>
        <v>0</v>
      </c>
      <c r="O264" s="223"/>
      <c r="P264" s="25"/>
      <c r="Q264" s="180">
        <v>-35.989999999999995</v>
      </c>
      <c r="R264" s="223"/>
      <c r="S264" s="197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25" hidden="1">
      <c r="A265" t="str">
        <f t="shared" si="33"/>
        <v>Carrosserie[...]</v>
      </c>
      <c r="B265" s="24" t="s">
        <v>163</v>
      </c>
      <c r="C265" s="251" t="s">
        <v>42</v>
      </c>
      <c r="D265" s="36"/>
      <c r="E265" s="25"/>
      <c r="F265" s="1178">
        <v>0</v>
      </c>
      <c r="G265" s="269"/>
      <c r="H265" s="25"/>
      <c r="I265" s="1178">
        <v>0</v>
      </c>
      <c r="J265" s="223"/>
      <c r="K265" s="25"/>
      <c r="L265" s="180">
        <v>0</v>
      </c>
      <c r="M265" s="223"/>
      <c r="N265" s="225">
        <f>L265-F265</f>
        <v>0</v>
      </c>
      <c r="O265" s="223"/>
      <c r="P265" s="25"/>
      <c r="Q265" s="180">
        <v>0</v>
      </c>
      <c r="R265" s="223"/>
      <c r="S265" s="197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0.25">
      <c r="A266" t="str">
        <f t="shared" si="33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1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25">
      <c r="A267" t="str">
        <f t="shared" si="33"/>
        <v>CarrosseriePublicité 2</v>
      </c>
      <c r="B267" s="24" t="s">
        <v>163</v>
      </c>
      <c r="C267" s="282" t="s">
        <v>118</v>
      </c>
      <c r="D267" s="36"/>
      <c r="E267" s="25"/>
      <c r="F267" s="1178">
        <v>0</v>
      </c>
      <c r="G267" s="269"/>
      <c r="H267" s="25"/>
      <c r="I267" s="1178">
        <v>0</v>
      </c>
      <c r="J267" s="223"/>
      <c r="K267" s="25"/>
      <c r="L267" s="180">
        <v>0</v>
      </c>
      <c r="M267" s="223"/>
      <c r="N267" s="225">
        <f t="shared" si="34"/>
        <v>0</v>
      </c>
      <c r="O267" s="223"/>
      <c r="P267" s="25"/>
      <c r="Q267" s="180">
        <v>47.47</v>
      </c>
      <c r="R267" s="223"/>
      <c r="S267" s="197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25">
      <c r="A268" t="str">
        <f t="shared" si="33"/>
        <v>CarrosserieService gratuit 2</v>
      </c>
      <c r="B268" s="24" t="s">
        <v>163</v>
      </c>
      <c r="C268" s="267" t="s">
        <v>119</v>
      </c>
      <c r="D268" s="36"/>
      <c r="E268" s="25"/>
      <c r="F268" s="1178">
        <v>0</v>
      </c>
      <c r="G268" s="269"/>
      <c r="H268" s="25"/>
      <c r="I268" s="1178">
        <v>0</v>
      </c>
      <c r="J268" s="223"/>
      <c r="K268" s="25"/>
      <c r="L268" s="180">
        <v>0</v>
      </c>
      <c r="M268" s="223"/>
      <c r="N268" s="225">
        <f t="shared" si="34"/>
        <v>0</v>
      </c>
      <c r="O268" s="223"/>
      <c r="P268" s="25"/>
      <c r="Q268" s="180">
        <v>12.07</v>
      </c>
      <c r="R268" s="223"/>
      <c r="S268" s="197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25">
      <c r="A269" t="str">
        <f t="shared" si="33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v>0</v>
      </c>
      <c r="G269" s="277"/>
      <c r="H269" s="276"/>
      <c r="I269" s="177">
        <v>0</v>
      </c>
      <c r="J269" s="278"/>
      <c r="K269" s="276"/>
      <c r="L269" s="180">
        <v>0</v>
      </c>
      <c r="M269" s="278"/>
      <c r="N269" s="279">
        <f t="shared" si="34"/>
        <v>0</v>
      </c>
      <c r="O269" s="278"/>
      <c r="P269" s="276"/>
      <c r="Q269" s="180">
        <v>403.16</v>
      </c>
      <c r="R269" s="278"/>
      <c r="S269" s="200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25">
      <c r="A270" t="str">
        <f t="shared" si="33"/>
        <v>CarrosserieInformatique</v>
      </c>
      <c r="B270" s="24" t="s">
        <v>163</v>
      </c>
      <c r="C270" s="267" t="s">
        <v>121</v>
      </c>
      <c r="D270" s="36"/>
      <c r="E270" s="25"/>
      <c r="F270" s="1178">
        <v>0</v>
      </c>
      <c r="G270" s="269"/>
      <c r="H270" s="25"/>
      <c r="I270" s="1178">
        <v>0</v>
      </c>
      <c r="J270" s="223"/>
      <c r="K270" s="25"/>
      <c r="L270" s="181">
        <v>0</v>
      </c>
      <c r="M270" s="223"/>
      <c r="N270" s="225">
        <f t="shared" si="34"/>
        <v>0</v>
      </c>
      <c r="O270" s="223"/>
      <c r="P270" s="25"/>
      <c r="Q270" s="181">
        <v>634.14</v>
      </c>
      <c r="R270" s="223"/>
      <c r="S270" s="197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25">
      <c r="A271" t="str">
        <f t="shared" si="33"/>
        <v>CarrosserieFrais de déplacement</v>
      </c>
      <c r="B271" s="24" t="s">
        <v>163</v>
      </c>
      <c r="C271" s="267" t="s">
        <v>122</v>
      </c>
      <c r="D271" s="36"/>
      <c r="E271" s="25"/>
      <c r="F271" s="1178">
        <v>0</v>
      </c>
      <c r="G271" s="269"/>
      <c r="H271" s="25"/>
      <c r="I271" s="1178">
        <v>0</v>
      </c>
      <c r="J271" s="223"/>
      <c r="K271" s="25"/>
      <c r="L271" s="180">
        <v>0</v>
      </c>
      <c r="M271" s="223"/>
      <c r="N271" s="225">
        <f t="shared" si="34"/>
        <v>0</v>
      </c>
      <c r="O271" s="223"/>
      <c r="P271" s="25"/>
      <c r="Q271" s="180">
        <v>15.14</v>
      </c>
      <c r="R271" s="223"/>
      <c r="S271" s="197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25">
      <c r="A272" t="str">
        <f t="shared" si="33"/>
        <v>CarrosserieServices extérieurs</v>
      </c>
      <c r="B272" s="24" t="s">
        <v>163</v>
      </c>
      <c r="C272" s="267" t="s">
        <v>123</v>
      </c>
      <c r="D272" s="275"/>
      <c r="E272" s="276"/>
      <c r="F272" s="177">
        <v>0</v>
      </c>
      <c r="G272" s="277"/>
      <c r="H272" s="276"/>
      <c r="I272" s="177">
        <v>0</v>
      </c>
      <c r="J272" s="278"/>
      <c r="K272" s="276"/>
      <c r="L272" s="180">
        <v>0</v>
      </c>
      <c r="M272" s="278"/>
      <c r="N272" s="279">
        <f t="shared" si="34"/>
        <v>0</v>
      </c>
      <c r="O272" s="278"/>
      <c r="P272" s="276"/>
      <c r="Q272" s="177">
        <v>488.72</v>
      </c>
      <c r="R272" s="278"/>
      <c r="S272" s="200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25">
      <c r="A273" t="str">
        <f t="shared" si="33"/>
        <v>CarrosserieFournitures d'atelier</v>
      </c>
      <c r="B273" s="24" t="s">
        <v>163</v>
      </c>
      <c r="C273" s="588" t="s">
        <v>350</v>
      </c>
      <c r="D273" s="36"/>
      <c r="E273" s="25"/>
      <c r="F273" s="1178">
        <v>0</v>
      </c>
      <c r="G273" s="269"/>
      <c r="H273" s="25"/>
      <c r="I273" s="1178">
        <v>0</v>
      </c>
      <c r="J273" s="223"/>
      <c r="K273" s="25"/>
      <c r="L273" s="374">
        <v>0</v>
      </c>
      <c r="M273" s="223"/>
      <c r="N273" s="225">
        <f t="shared" si="34"/>
        <v>0</v>
      </c>
      <c r="O273" s="223"/>
      <c r="P273" s="25"/>
      <c r="Q273" s="180"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3"/>
        <v>CarrosserieFournitures autres</v>
      </c>
      <c r="B274" s="24" t="s">
        <v>163</v>
      </c>
      <c r="C274" s="267" t="s">
        <v>124</v>
      </c>
      <c r="D274" s="36"/>
      <c r="E274" s="25"/>
      <c r="F274" s="1178">
        <v>0</v>
      </c>
      <c r="G274" s="269"/>
      <c r="H274" s="25"/>
      <c r="I274" s="1178">
        <v>0</v>
      </c>
      <c r="J274" s="223"/>
      <c r="K274" s="25"/>
      <c r="L274" s="180">
        <v>0</v>
      </c>
      <c r="M274" s="223"/>
      <c r="N274" s="225">
        <f t="shared" si="34"/>
        <v>0</v>
      </c>
      <c r="O274" s="223"/>
      <c r="P274" s="25"/>
      <c r="Q274" s="180">
        <v>0</v>
      </c>
      <c r="R274" s="223"/>
      <c r="S274" s="197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>
      <c r="A275" t="str">
        <f t="shared" si="33"/>
        <v>CarrosserieUniformes</v>
      </c>
      <c r="B275" s="24" t="s">
        <v>163</v>
      </c>
      <c r="C275" s="267" t="s">
        <v>125</v>
      </c>
      <c r="D275" s="36"/>
      <c r="E275" s="25"/>
      <c r="F275" s="1178">
        <v>0</v>
      </c>
      <c r="G275" s="269"/>
      <c r="H275" s="25"/>
      <c r="I275" s="1178">
        <v>0</v>
      </c>
      <c r="J275" s="223"/>
      <c r="K275" s="25"/>
      <c r="L275" s="180">
        <v>0</v>
      </c>
      <c r="M275" s="223"/>
      <c r="N275" s="225">
        <f t="shared" si="34"/>
        <v>0</v>
      </c>
      <c r="O275" s="223"/>
      <c r="P275" s="25"/>
      <c r="Q275" s="180">
        <v>18.75</v>
      </c>
      <c r="R275" s="223"/>
      <c r="S275" s="197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25">
      <c r="A276" t="str">
        <f t="shared" si="33"/>
        <v>CarrosseriePapeterie</v>
      </c>
      <c r="B276" s="24" t="s">
        <v>163</v>
      </c>
      <c r="C276" s="267" t="s">
        <v>126</v>
      </c>
      <c r="D276" s="36"/>
      <c r="E276" s="25"/>
      <c r="F276" s="1178">
        <v>0</v>
      </c>
      <c r="G276" s="269"/>
      <c r="H276" s="25"/>
      <c r="I276" s="1178">
        <v>0</v>
      </c>
      <c r="J276" s="223"/>
      <c r="K276" s="25"/>
      <c r="L276" s="473">
        <v>0</v>
      </c>
      <c r="M276" s="223"/>
      <c r="N276" s="225">
        <f t="shared" si="34"/>
        <v>0</v>
      </c>
      <c r="O276" s="223"/>
      <c r="P276" s="25"/>
      <c r="Q276" s="473">
        <v>109.56</v>
      </c>
      <c r="R276" s="223"/>
      <c r="S276" s="197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3"/>
        <v>CarrosserieTéléphone</v>
      </c>
      <c r="B277" s="24" t="s">
        <v>163</v>
      </c>
      <c r="C277" s="267" t="s">
        <v>127</v>
      </c>
      <c r="D277" s="36"/>
      <c r="E277" s="25"/>
      <c r="F277" s="1178">
        <v>0</v>
      </c>
      <c r="G277" s="269"/>
      <c r="H277" s="25"/>
      <c r="I277" s="1178">
        <v>0</v>
      </c>
      <c r="J277" s="223"/>
      <c r="K277" s="25"/>
      <c r="L277" s="180">
        <v>0</v>
      </c>
      <c r="M277" s="223"/>
      <c r="N277" s="225">
        <f t="shared" si="34"/>
        <v>0</v>
      </c>
      <c r="O277" s="223"/>
      <c r="P277" s="25"/>
      <c r="Q277" s="180">
        <v>22.14</v>
      </c>
      <c r="R277" s="223"/>
      <c r="S277" s="197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3"/>
        <v>CarrosserieFrais postaux</v>
      </c>
      <c r="B278" s="24" t="s">
        <v>163</v>
      </c>
      <c r="C278" s="267" t="s">
        <v>128</v>
      </c>
      <c r="D278" s="36"/>
      <c r="E278" s="25"/>
      <c r="F278" s="1178">
        <v>0</v>
      </c>
      <c r="G278" s="269"/>
      <c r="H278" s="25"/>
      <c r="I278" s="1178">
        <v>0</v>
      </c>
      <c r="J278" s="223"/>
      <c r="K278" s="25"/>
      <c r="L278" s="180">
        <v>0</v>
      </c>
      <c r="M278" s="223"/>
      <c r="N278" s="225">
        <f t="shared" si="34"/>
        <v>0</v>
      </c>
      <c r="O278" s="223"/>
      <c r="P278" s="25"/>
      <c r="Q278" s="180">
        <v>19.400000000000002</v>
      </c>
      <c r="R278" s="223"/>
      <c r="S278" s="197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3"/>
        <v>CarrosserieDivers</v>
      </c>
      <c r="B279" s="24" t="s">
        <v>163</v>
      </c>
      <c r="C279" s="267" t="s">
        <v>129</v>
      </c>
      <c r="D279" s="36"/>
      <c r="E279" s="25"/>
      <c r="F279" s="1178">
        <v>0</v>
      </c>
      <c r="G279" s="269"/>
      <c r="H279" s="25"/>
      <c r="I279" s="1178">
        <v>0</v>
      </c>
      <c r="J279" s="223"/>
      <c r="K279" s="25"/>
      <c r="L279" s="180">
        <v>0</v>
      </c>
      <c r="M279" s="223"/>
      <c r="N279" s="225">
        <f t="shared" si="34"/>
        <v>0</v>
      </c>
      <c r="O279" s="223"/>
      <c r="P279" s="25"/>
      <c r="Q279" s="180">
        <v>118.54</v>
      </c>
      <c r="R279" s="223"/>
      <c r="S279" s="197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3"/>
        <v>CarrosserieFormation</v>
      </c>
      <c r="B280" s="24" t="s">
        <v>163</v>
      </c>
      <c r="C280" s="267" t="s">
        <v>130</v>
      </c>
      <c r="D280" s="36"/>
      <c r="E280" s="25"/>
      <c r="F280" s="1178">
        <v>0</v>
      </c>
      <c r="G280" s="269"/>
      <c r="H280" s="25"/>
      <c r="I280" s="1178">
        <v>0</v>
      </c>
      <c r="J280" s="223"/>
      <c r="K280" s="25"/>
      <c r="L280" s="180">
        <v>0</v>
      </c>
      <c r="M280" s="223"/>
      <c r="N280" s="225">
        <f t="shared" si="34"/>
        <v>0</v>
      </c>
      <c r="O280" s="223"/>
      <c r="P280" s="25"/>
      <c r="Q280" s="180">
        <v>92.11999999999999</v>
      </c>
      <c r="R280" s="223"/>
      <c r="S280" s="197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3"/>
        <v>CarrosserieFrais bancaires</v>
      </c>
      <c r="B281" s="24" t="s">
        <v>163</v>
      </c>
      <c r="C281" s="267" t="s">
        <v>131</v>
      </c>
      <c r="D281" s="36"/>
      <c r="E281" s="25"/>
      <c r="F281" s="1178">
        <v>0</v>
      </c>
      <c r="G281" s="269"/>
      <c r="H281" s="25"/>
      <c r="I281" s="1178">
        <v>0</v>
      </c>
      <c r="J281" s="223"/>
      <c r="K281" s="25"/>
      <c r="L281" s="180">
        <v>0</v>
      </c>
      <c r="M281" s="223"/>
      <c r="N281" s="225">
        <f t="shared" si="34"/>
        <v>0</v>
      </c>
      <c r="O281" s="223"/>
      <c r="P281" s="25"/>
      <c r="Q281" s="180">
        <v>425.36</v>
      </c>
      <c r="R281" s="223"/>
      <c r="S281" s="197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3"/>
        <v>Carrosserie[...]</v>
      </c>
      <c r="B282" s="24" t="s">
        <v>163</v>
      </c>
      <c r="C282" s="267" t="s">
        <v>42</v>
      </c>
      <c r="D282" s="36"/>
      <c r="E282" s="25"/>
      <c r="F282" s="1178">
        <v>0</v>
      </c>
      <c r="G282" s="269"/>
      <c r="H282" s="25"/>
      <c r="I282" s="1178">
        <v>0</v>
      </c>
      <c r="J282" s="223"/>
      <c r="K282" s="25"/>
      <c r="L282" s="180">
        <v>0</v>
      </c>
      <c r="M282" s="223"/>
      <c r="N282" s="225">
        <f t="shared" si="34"/>
        <v>0</v>
      </c>
      <c r="O282" s="223"/>
      <c r="P282" s="25"/>
      <c r="Q282" s="180">
        <v>0</v>
      </c>
      <c r="R282" s="223"/>
      <c r="S282" s="197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33"/>
        <v>Carrosserie[...]</v>
      </c>
      <c r="B283" s="24" t="s">
        <v>163</v>
      </c>
      <c r="C283" s="267" t="s">
        <v>42</v>
      </c>
      <c r="D283" s="36"/>
      <c r="E283" s="25"/>
      <c r="F283" s="1178">
        <v>0</v>
      </c>
      <c r="G283" s="269"/>
      <c r="H283" s="25"/>
      <c r="I283" s="1178">
        <v>0</v>
      </c>
      <c r="J283" s="223"/>
      <c r="K283" s="25"/>
      <c r="L283" s="180">
        <v>0</v>
      </c>
      <c r="M283" s="223"/>
      <c r="N283" s="225">
        <f t="shared" si="34"/>
        <v>0</v>
      </c>
      <c r="O283" s="223"/>
      <c r="P283" s="25"/>
      <c r="Q283" s="180">
        <v>0</v>
      </c>
      <c r="R283" s="223"/>
      <c r="S283" s="197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3"/>
        <v>Carrosserie[...]</v>
      </c>
      <c r="B284" s="24" t="s">
        <v>163</v>
      </c>
      <c r="C284" s="267" t="s">
        <v>42</v>
      </c>
      <c r="D284" s="36"/>
      <c r="E284" s="25"/>
      <c r="F284" s="1178">
        <v>0</v>
      </c>
      <c r="G284" s="269"/>
      <c r="H284" s="25"/>
      <c r="I284" s="1178">
        <v>0</v>
      </c>
      <c r="J284" s="223"/>
      <c r="K284" s="25"/>
      <c r="L284" s="180">
        <v>0</v>
      </c>
      <c r="M284" s="223"/>
      <c r="N284" s="225">
        <f t="shared" si="34"/>
        <v>0</v>
      </c>
      <c r="O284" s="223"/>
      <c r="P284" s="25"/>
      <c r="Q284" s="180">
        <v>0</v>
      </c>
      <c r="R284" s="223"/>
      <c r="S284" s="197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5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1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36"/>
      <c r="E288" s="25"/>
      <c r="F288" s="225"/>
      <c r="G288" s="269"/>
      <c r="H288" s="25"/>
      <c r="I288" s="225"/>
      <c r="J288" s="223"/>
      <c r="K288" s="25"/>
      <c r="L288" s="225"/>
      <c r="M288" s="223"/>
      <c r="N288" s="225"/>
      <c r="O288" s="223"/>
      <c r="P288" s="25"/>
      <c r="Q288" s="225"/>
      <c r="R288" s="223"/>
      <c r="S288" s="197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>
        <f>I250-I287</f>
        <v>0</v>
      </c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-4198.1700000000019</v>
      </c>
      <c r="R289" s="308"/>
      <c r="S289" s="310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79" t="s">
        <v>77</v>
      </c>
      <c r="E293" s="1280"/>
      <c r="F293" s="1281"/>
      <c r="G293" s="1284" t="s">
        <v>2981</v>
      </c>
      <c r="H293" s="1280"/>
      <c r="I293" s="1281"/>
      <c r="J293" s="1284" t="s">
        <v>78</v>
      </c>
      <c r="K293" s="1280"/>
      <c r="L293" s="1281"/>
      <c r="M293" s="1284" t="s">
        <v>2442</v>
      </c>
      <c r="N293" s="1281"/>
      <c r="O293" s="1279" t="s">
        <v>79</v>
      </c>
      <c r="P293" s="1280"/>
      <c r="Q293" s="1281"/>
      <c r="R293" s="1282" t="s">
        <v>2446</v>
      </c>
      <c r="S293" s="128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8" si="36">+B294&amp;C294</f>
        <v>Pièces</v>
      </c>
      <c r="B294" s="24" t="s">
        <v>167</v>
      </c>
      <c r="C294" s="251"/>
      <c r="D294" s="457" t="s">
        <v>149</v>
      </c>
      <c r="E294" s="457" t="s">
        <v>168</v>
      </c>
      <c r="F294" s="254" t="s">
        <v>83</v>
      </c>
      <c r="G294" s="252" t="s">
        <v>149</v>
      </c>
      <c r="H294" s="457" t="s">
        <v>168</v>
      </c>
      <c r="I294" s="254" t="s">
        <v>83</v>
      </c>
      <c r="J294" s="252" t="s">
        <v>149</v>
      </c>
      <c r="K294" s="457" t="s">
        <v>168</v>
      </c>
      <c r="L294" s="254" t="s">
        <v>83</v>
      </c>
      <c r="M294" s="252" t="s">
        <v>148</v>
      </c>
      <c r="N294" s="254" t="s">
        <v>2444</v>
      </c>
      <c r="O294" s="457" t="s">
        <v>149</v>
      </c>
      <c r="P294" s="457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36"/>
        <v>PiècesPièces Ro Clients</v>
      </c>
      <c r="B295" s="24" t="s">
        <v>167</v>
      </c>
      <c r="C295" s="251" t="s">
        <v>169</v>
      </c>
      <c r="D295" s="37">
        <v>201212.45698982885</v>
      </c>
      <c r="E295" s="453">
        <f>IF(D295=0,0,F295/D295)</f>
        <v>0.40999999999999992</v>
      </c>
      <c r="F295" s="197">
        <v>82497.107365829812</v>
      </c>
      <c r="G295" s="37">
        <v>0</v>
      </c>
      <c r="H295" s="453">
        <f>IF(G295=0,0,I295/G295)</f>
        <v>0</v>
      </c>
      <c r="I295" s="197">
        <v>0</v>
      </c>
      <c r="J295" s="1178">
        <v>168336</v>
      </c>
      <c r="K295" s="453">
        <f>IF(J295=0,0,L295/J295)</f>
        <v>0.41719139102746888</v>
      </c>
      <c r="L295" s="180">
        <v>70228.33</v>
      </c>
      <c r="M295" s="293">
        <f t="shared" ref="M295:M301" si="37">(+J295-D295)/D295</f>
        <v>-0.16339175755649527</v>
      </c>
      <c r="N295" s="225">
        <f t="shared" ref="N295:N304" si="38">L295-F295</f>
        <v>-12268.77736582981</v>
      </c>
      <c r="O295" s="1178">
        <v>172430.41999999998</v>
      </c>
      <c r="P295" s="453">
        <f>IF(O295=0,0,Q295/O295)</f>
        <v>0.38800885597796375</v>
      </c>
      <c r="Q295" s="180">
        <v>66904.529999999795</v>
      </c>
      <c r="R295" s="293">
        <f>IF(O295=0,0,(J295-O295)/O295)</f>
        <v>-2.3745346093804007E-2</v>
      </c>
      <c r="S295" s="197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36"/>
        <v>PiècesPièces Ro Carrosserie</v>
      </c>
      <c r="B296" s="24" t="s">
        <v>167</v>
      </c>
      <c r="C296" s="251" t="s">
        <v>170</v>
      </c>
      <c r="D296" s="37">
        <v>0</v>
      </c>
      <c r="E296" s="453">
        <f t="shared" ref="E296:E303" si="40">IF(D296=0,0,F296/D296)</f>
        <v>0</v>
      </c>
      <c r="F296" s="197">
        <v>0</v>
      </c>
      <c r="G296" s="37">
        <v>0</v>
      </c>
      <c r="H296" s="453">
        <f t="shared" ref="H296:H303" si="41">IF(G296=0,0,I296/G296)</f>
        <v>0</v>
      </c>
      <c r="I296" s="197">
        <v>0</v>
      </c>
      <c r="J296" s="1178">
        <v>0</v>
      </c>
      <c r="K296" s="453">
        <f t="shared" ref="K296:K303" si="42">IF(J296=0,0,L296/J296)</f>
        <v>0</v>
      </c>
      <c r="L296" s="180">
        <v>0</v>
      </c>
      <c r="M296" s="293" t="e">
        <f t="shared" si="37"/>
        <v>#DIV/0!</v>
      </c>
      <c r="N296" s="225">
        <f t="shared" si="38"/>
        <v>0</v>
      </c>
      <c r="O296" s="1178">
        <v>0</v>
      </c>
      <c r="P296" s="453">
        <f t="shared" ref="P296:P303" si="43">IF(O296=0,0,Q296/O296)</f>
        <v>0</v>
      </c>
      <c r="Q296" s="180">
        <v>0</v>
      </c>
      <c r="R296" s="293">
        <f t="shared" ref="R296:R303" si="44">IF(O296=0,0,(J296-O296)/O296)</f>
        <v>0</v>
      </c>
      <c r="S296" s="197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36"/>
        <v>PiècesP/A Garantie</v>
      </c>
      <c r="B297" s="24" t="s">
        <v>167</v>
      </c>
      <c r="C297" s="251" t="s">
        <v>171</v>
      </c>
      <c r="D297" s="37">
        <v>172642.38039197293</v>
      </c>
      <c r="E297" s="453">
        <f t="shared" si="40"/>
        <v>0.28499999999999998</v>
      </c>
      <c r="F297" s="197">
        <v>49203.078411712282</v>
      </c>
      <c r="G297" s="37">
        <v>0</v>
      </c>
      <c r="H297" s="453">
        <f t="shared" si="41"/>
        <v>0</v>
      </c>
      <c r="I297" s="197">
        <v>0</v>
      </c>
      <c r="J297" s="1178">
        <v>269519.89</v>
      </c>
      <c r="K297" s="453">
        <f t="shared" si="42"/>
        <v>0.2732723362272077</v>
      </c>
      <c r="L297" s="180">
        <v>73652.330000000045</v>
      </c>
      <c r="M297" s="293">
        <f t="shared" si="37"/>
        <v>0.56114558538913339</v>
      </c>
      <c r="N297" s="225">
        <f t="shared" si="38"/>
        <v>24449.251588287763</v>
      </c>
      <c r="O297" s="1178">
        <v>205778.63999999978</v>
      </c>
      <c r="P297" s="453">
        <f t="shared" si="43"/>
        <v>0.2695232119329774</v>
      </c>
      <c r="Q297" s="180">
        <v>55462.119999999799</v>
      </c>
      <c r="R297" s="293">
        <f t="shared" si="44"/>
        <v>0.3097563964850788</v>
      </c>
      <c r="S297" s="197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36"/>
        <v>PiècesVentes Internes</v>
      </c>
      <c r="B298" s="24" t="s">
        <v>167</v>
      </c>
      <c r="C298" s="251" t="s">
        <v>172</v>
      </c>
      <c r="D298" s="37">
        <v>68263.688007548</v>
      </c>
      <c r="E298" s="453">
        <f t="shared" si="40"/>
        <v>0.35000000000000003</v>
      </c>
      <c r="F298" s="197">
        <v>23892.290802641801</v>
      </c>
      <c r="G298" s="37">
        <v>0</v>
      </c>
      <c r="H298" s="453">
        <f t="shared" si="41"/>
        <v>0</v>
      </c>
      <c r="I298" s="197">
        <v>0</v>
      </c>
      <c r="J298" s="1178">
        <v>52810.520000000004</v>
      </c>
      <c r="K298" s="453">
        <f t="shared" si="42"/>
        <v>0.35297512692546867</v>
      </c>
      <c r="L298" s="180">
        <v>18640.800000000003</v>
      </c>
      <c r="M298" s="293">
        <f t="shared" si="37"/>
        <v>-0.22637464307289287</v>
      </c>
      <c r="N298" s="225">
        <f t="shared" si="38"/>
        <v>-5251.4908026417979</v>
      </c>
      <c r="O298" s="1178">
        <v>52005.84</v>
      </c>
      <c r="P298" s="453">
        <f t="shared" si="43"/>
        <v>0.36554779232486201</v>
      </c>
      <c r="Q298" s="180">
        <v>19010.62</v>
      </c>
      <c r="R298" s="293">
        <f t="shared" si="44"/>
        <v>1.5472877661432016E-2</v>
      </c>
      <c r="S298" s="197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36"/>
        <v>PiècesVentes Détails</v>
      </c>
      <c r="B299" s="24" t="s">
        <v>167</v>
      </c>
      <c r="C299" s="251" t="s">
        <v>173</v>
      </c>
      <c r="D299" s="37">
        <v>73629.203666897549</v>
      </c>
      <c r="E299" s="453">
        <f t="shared" si="40"/>
        <v>0.3</v>
      </c>
      <c r="F299" s="197">
        <v>22088.761100069263</v>
      </c>
      <c r="G299" s="37">
        <v>0</v>
      </c>
      <c r="H299" s="453">
        <f t="shared" si="41"/>
        <v>0</v>
      </c>
      <c r="I299" s="197">
        <v>0</v>
      </c>
      <c r="J299" s="1178">
        <v>51181.62000000001</v>
      </c>
      <c r="K299" s="453">
        <f t="shared" si="42"/>
        <v>0.37981974779227379</v>
      </c>
      <c r="L299" s="180">
        <v>19439.79</v>
      </c>
      <c r="M299" s="293">
        <f t="shared" si="37"/>
        <v>-0.30487337291398137</v>
      </c>
      <c r="N299" s="225">
        <f t="shared" si="38"/>
        <v>-2648.9711000692623</v>
      </c>
      <c r="O299" s="1178">
        <v>80656.87</v>
      </c>
      <c r="P299" s="453">
        <f t="shared" si="43"/>
        <v>0.28505792500998245</v>
      </c>
      <c r="Q299" s="180">
        <v>22991.879999999903</v>
      </c>
      <c r="R299" s="293">
        <f t="shared" si="44"/>
        <v>-0.36544004249111062</v>
      </c>
      <c r="S299" s="197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36"/>
        <v>PiècesVentes de Gros</v>
      </c>
      <c r="B300" s="24" t="s">
        <v>167</v>
      </c>
      <c r="C300" s="251" t="s">
        <v>174</v>
      </c>
      <c r="D300" s="37">
        <v>110362.23363492984</v>
      </c>
      <c r="E300" s="453">
        <f t="shared" si="40"/>
        <v>0.20000000000000007</v>
      </c>
      <c r="F300" s="197">
        <v>22072.446726985974</v>
      </c>
      <c r="G300" s="37">
        <v>0</v>
      </c>
      <c r="H300" s="453">
        <f t="shared" si="41"/>
        <v>0</v>
      </c>
      <c r="I300" s="197">
        <v>0</v>
      </c>
      <c r="J300" s="1178">
        <v>135221.49</v>
      </c>
      <c r="K300" s="453">
        <f t="shared" si="42"/>
        <v>0.19854743502678451</v>
      </c>
      <c r="L300" s="180">
        <v>26847.87999999999</v>
      </c>
      <c r="M300" s="293">
        <f t="shared" si="37"/>
        <v>0.22525147911832541</v>
      </c>
      <c r="N300" s="225">
        <f t="shared" si="38"/>
        <v>4775.4332730140159</v>
      </c>
      <c r="O300" s="1178">
        <v>111677.03</v>
      </c>
      <c r="P300" s="453">
        <f t="shared" si="43"/>
        <v>0.21597449359102755</v>
      </c>
      <c r="Q300" s="180">
        <v>24119.389999999992</v>
      </c>
      <c r="R300" s="293">
        <f t="shared" si="44"/>
        <v>0.21082634450432639</v>
      </c>
      <c r="S300" s="197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 t="shared" si="36"/>
        <v>Pièces[...]</v>
      </c>
      <c r="B301" s="24" t="s">
        <v>167</v>
      </c>
      <c r="C301" s="251" t="s">
        <v>42</v>
      </c>
      <c r="D301" s="37">
        <v>0</v>
      </c>
      <c r="E301" s="453">
        <f t="shared" si="40"/>
        <v>0</v>
      </c>
      <c r="F301" s="197">
        <v>0</v>
      </c>
      <c r="G301" s="37">
        <v>0</v>
      </c>
      <c r="H301" s="453">
        <f t="shared" si="41"/>
        <v>0</v>
      </c>
      <c r="I301" s="197">
        <v>0</v>
      </c>
      <c r="J301" s="1178">
        <v>0</v>
      </c>
      <c r="K301" s="453">
        <f t="shared" si="42"/>
        <v>0</v>
      </c>
      <c r="L301" s="180">
        <v>0</v>
      </c>
      <c r="M301" s="293" t="e">
        <f t="shared" si="37"/>
        <v>#DIV/0!</v>
      </c>
      <c r="N301" s="225">
        <f t="shared" si="38"/>
        <v>0</v>
      </c>
      <c r="O301" s="1178">
        <v>0</v>
      </c>
      <c r="P301" s="453">
        <f t="shared" si="43"/>
        <v>0</v>
      </c>
      <c r="Q301" s="180"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36"/>
        <v>PiècesEscomptes</v>
      </c>
      <c r="B302" s="24" t="s">
        <v>167</v>
      </c>
      <c r="C302" s="251" t="s">
        <v>175</v>
      </c>
      <c r="D302" s="37">
        <v>0</v>
      </c>
      <c r="E302" s="453">
        <f t="shared" si="40"/>
        <v>0</v>
      </c>
      <c r="F302" s="197">
        <v>16379.758341353343</v>
      </c>
      <c r="G302" s="37">
        <v>0</v>
      </c>
      <c r="H302" s="453">
        <f t="shared" si="41"/>
        <v>0</v>
      </c>
      <c r="I302" s="197">
        <v>0</v>
      </c>
      <c r="J302" s="1178">
        <v>0</v>
      </c>
      <c r="K302" s="453">
        <f t="shared" si="42"/>
        <v>0</v>
      </c>
      <c r="L302" s="180">
        <v>10880.16</v>
      </c>
      <c r="M302" s="293"/>
      <c r="N302" s="225">
        <f t="shared" si="38"/>
        <v>-5499.5983413533431</v>
      </c>
      <c r="O302" s="1178">
        <v>0</v>
      </c>
      <c r="P302" s="453">
        <f t="shared" si="43"/>
        <v>0</v>
      </c>
      <c r="Q302" s="180">
        <v>5921.56</v>
      </c>
      <c r="R302" s="293">
        <f t="shared" si="44"/>
        <v>0</v>
      </c>
      <c r="S302" s="197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36"/>
        <v>PiècesRectif. Inventaire</v>
      </c>
      <c r="B303" s="24" t="s">
        <v>167</v>
      </c>
      <c r="C303" s="294" t="s">
        <v>176</v>
      </c>
      <c r="D303" s="37">
        <v>0</v>
      </c>
      <c r="E303" s="453">
        <f t="shared" si="40"/>
        <v>0</v>
      </c>
      <c r="F303" s="197">
        <v>0</v>
      </c>
      <c r="G303" s="37">
        <v>0</v>
      </c>
      <c r="H303" s="453">
        <f t="shared" si="41"/>
        <v>0</v>
      </c>
      <c r="I303" s="197">
        <v>0</v>
      </c>
      <c r="J303" s="1178">
        <v>0</v>
      </c>
      <c r="K303" s="453">
        <f t="shared" si="42"/>
        <v>0</v>
      </c>
      <c r="L303" s="180">
        <v>0</v>
      </c>
      <c r="M303" s="293"/>
      <c r="N303" s="225">
        <f t="shared" si="38"/>
        <v>0</v>
      </c>
      <c r="O303" s="1178">
        <v>0</v>
      </c>
      <c r="P303" s="453">
        <f t="shared" si="43"/>
        <v>0</v>
      </c>
      <c r="Q303" s="180">
        <v>0</v>
      </c>
      <c r="R303" s="293">
        <f t="shared" si="44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36"/>
        <v>PiècesSous-total Pièces</v>
      </c>
      <c r="B304" s="24" t="s">
        <v>167</v>
      </c>
      <c r="C304" s="260" t="s">
        <v>177</v>
      </c>
      <c r="D304" s="196">
        <f>SUM(D295:D303)</f>
        <v>626109.96269117715</v>
      </c>
      <c r="E304" s="295">
        <f>IF(D304&lt;=0,0,F304/D304)</f>
        <v>0.34520045299965663</v>
      </c>
      <c r="F304" s="198">
        <f>SUM(F295:F303)</f>
        <v>216133.44274859247</v>
      </c>
      <c r="G304" s="196">
        <f>SUM(G295:G303)</f>
        <v>0</v>
      </c>
      <c r="H304" s="295">
        <f>IF(G304&lt;=0,0,I304/G304)</f>
        <v>0</v>
      </c>
      <c r="I304" s="198">
        <f>SUM(I295:I303)</f>
        <v>0</v>
      </c>
      <c r="J304" s="196">
        <f>SUM(J295:J303)</f>
        <v>677069.52</v>
      </c>
      <c r="K304" s="295">
        <f>IF(J304&lt;=0,0,L304/J304)</f>
        <v>0.32447080175755066</v>
      </c>
      <c r="L304" s="221">
        <f>SUM(L295:L303)</f>
        <v>219689.29</v>
      </c>
      <c r="M304" s="296">
        <f>(+J304-D304)/D304</f>
        <v>8.1390746586727278E-2</v>
      </c>
      <c r="N304" s="221">
        <f t="shared" si="38"/>
        <v>3555.8472514075402</v>
      </c>
      <c r="O304" s="196">
        <f>SUM(O295:O303)</f>
        <v>622548.79999999981</v>
      </c>
      <c r="P304" s="295">
        <f>IF(O304&lt;=0,0,Q304/O304)</f>
        <v>0.31228090071011227</v>
      </c>
      <c r="Q304" s="221">
        <f>SUM(Q295:Q303)</f>
        <v>194410.09999999948</v>
      </c>
      <c r="R304" s="296">
        <f>IF(O304=0,0,(J304-O304)/O304)</f>
        <v>8.757662049946964E-2</v>
      </c>
      <c r="S304" s="198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36"/>
        <v>Pièces</v>
      </c>
      <c r="B305" s="24" t="s">
        <v>167</v>
      </c>
      <c r="C305" s="251"/>
      <c r="D305" s="25"/>
      <c r="E305" s="25"/>
      <c r="F305" s="265"/>
      <c r="G305" s="223"/>
      <c r="H305" s="25"/>
      <c r="I305" s="265"/>
      <c r="J305" s="223"/>
      <c r="K305" s="25"/>
      <c r="L305" s="265"/>
      <c r="M305" s="223"/>
      <c r="N305" s="234">
        <f>N304/F304</f>
        <v>1.6452091847459813E-2</v>
      </c>
      <c r="O305" s="223"/>
      <c r="P305" s="25"/>
      <c r="Q305" s="265"/>
      <c r="R305" s="223"/>
      <c r="S305" s="262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36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36"/>
        <v>PiècesVentes Pneus</v>
      </c>
      <c r="B307" s="24" t="s">
        <v>167</v>
      </c>
      <c r="C307" s="251" t="s">
        <v>178</v>
      </c>
      <c r="D307" s="37">
        <v>162706.81609580107</v>
      </c>
      <c r="E307" s="453">
        <f>IF(D307=0,0,F307/D307)</f>
        <v>0.24000000000000002</v>
      </c>
      <c r="F307" s="199">
        <v>39049.635862992262</v>
      </c>
      <c r="G307" s="37">
        <v>0</v>
      </c>
      <c r="H307" s="453">
        <f>IF(G307=0,0,I307/G307)</f>
        <v>0</v>
      </c>
      <c r="I307" s="199">
        <v>0</v>
      </c>
      <c r="J307" s="1178">
        <v>176180.53</v>
      </c>
      <c r="K307" s="453">
        <f>IF(J307=0,0,L307/J307)</f>
        <v>0.28574729568585133</v>
      </c>
      <c r="L307" s="180">
        <v>50343.11</v>
      </c>
      <c r="M307" s="293">
        <f>(+J307-D307)/D307</f>
        <v>8.2809769298574837E-2</v>
      </c>
      <c r="N307" s="225">
        <f>L307-F307</f>
        <v>11293.474137007739</v>
      </c>
      <c r="O307" s="1178">
        <v>150193.45000000001</v>
      </c>
      <c r="P307" s="453">
        <f>IF(O307=0,0,Q307/O307)</f>
        <v>0.25093624255917818</v>
      </c>
      <c r="Q307" s="180">
        <v>37688.979999999799</v>
      </c>
      <c r="R307" s="293">
        <f>IF(O307=0,0,(J307-O307)/O307)</f>
        <v>0.17302405664161777</v>
      </c>
      <c r="S307" s="197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36"/>
        <v>PiècesHuiles et Graisse</v>
      </c>
      <c r="B308" s="24" t="s">
        <v>167</v>
      </c>
      <c r="C308" s="294" t="s">
        <v>179</v>
      </c>
      <c r="D308" s="37">
        <v>35964.092418484746</v>
      </c>
      <c r="E308" s="453">
        <f>IF(D308=0,0,F308/D308)</f>
        <v>0.34399999999999997</v>
      </c>
      <c r="F308" s="200">
        <v>12371.647791958752</v>
      </c>
      <c r="G308" s="37">
        <v>0</v>
      </c>
      <c r="H308" s="453">
        <f>IF(G308=0,0,I308/G308)</f>
        <v>0</v>
      </c>
      <c r="I308" s="200">
        <v>0</v>
      </c>
      <c r="J308" s="1178">
        <v>41912.21</v>
      </c>
      <c r="K308" s="453">
        <f>IF(J308=0,0,L308/J308)</f>
        <v>0.34017414018492464</v>
      </c>
      <c r="L308" s="180">
        <v>14257.45</v>
      </c>
      <c r="M308" s="293">
        <f>(+J308-D308)/D308</f>
        <v>0.16539045424257814</v>
      </c>
      <c r="N308" s="225">
        <f>L308-F308</f>
        <v>1885.8022080412484</v>
      </c>
      <c r="O308" s="1178">
        <v>30762.639999999999</v>
      </c>
      <c r="P308" s="453">
        <f>IF(O308=0,0,Q308/O308)</f>
        <v>0.34292115371112492</v>
      </c>
      <c r="Q308" s="180">
        <v>10549.16</v>
      </c>
      <c r="R308" s="293">
        <f>IF(O308=0,0,(J308-O308)/O308)</f>
        <v>0.36243865936083508</v>
      </c>
      <c r="S308" s="197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36"/>
        <v>PiècesSous-total Pièces et Acc.</v>
      </c>
      <c r="B309" s="24" t="s">
        <v>167</v>
      </c>
      <c r="C309" s="260" t="s">
        <v>180</v>
      </c>
      <c r="D309" s="196">
        <f>D304+D307+D308</f>
        <v>824780.87120546296</v>
      </c>
      <c r="E309" s="295">
        <f>IF(D309&lt;=0,0,F309/D309)</f>
        <v>0.32439492202637704</v>
      </c>
      <c r="F309" s="221">
        <f>F304+F307+F308</f>
        <v>267554.72640354349</v>
      </c>
      <c r="G309" s="222">
        <f>G304+G307+G308</f>
        <v>0</v>
      </c>
      <c r="H309" s="295">
        <f>IF(G309&lt;=0,0,I309/G309)</f>
        <v>0</v>
      </c>
      <c r="I309" s="221">
        <f>I304+I307+I308</f>
        <v>0</v>
      </c>
      <c r="J309" s="222">
        <f>J304+J307+J308</f>
        <v>895162.26</v>
      </c>
      <c r="K309" s="295">
        <f>IF(J309&lt;=0,0,L309/J309)</f>
        <v>0.31758471363616247</v>
      </c>
      <c r="L309" s="221">
        <f>L304+L307+L308</f>
        <v>284289.85000000003</v>
      </c>
      <c r="M309" s="296">
        <f>(+J309-D309)/D309</f>
        <v>8.5333439767669134E-2</v>
      </c>
      <c r="N309" s="221">
        <f>L309-F309</f>
        <v>16735.123596456542</v>
      </c>
      <c r="O309" s="222">
        <f>O304+O307+O308</f>
        <v>803504.88999999978</v>
      </c>
      <c r="P309" s="295">
        <f>IF(O309&lt;=0,0,Q309/O309)</f>
        <v>0.30198725984106872</v>
      </c>
      <c r="Q309" s="221">
        <f>Q304+Q307+Q308</f>
        <v>242648.23999999929</v>
      </c>
      <c r="R309" s="296">
        <f>IF(O309=0,0,(J309-O309)/O309)</f>
        <v>0.11407195045197578</v>
      </c>
      <c r="S309" s="198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36"/>
        <v>Pièces</v>
      </c>
      <c r="B310" s="24" t="s">
        <v>167</v>
      </c>
      <c r="C310" s="251"/>
      <c r="D310" s="25"/>
      <c r="E310" s="25"/>
      <c r="F310" s="265"/>
      <c r="G310" s="223"/>
      <c r="H310" s="25"/>
      <c r="I310" s="265"/>
      <c r="J310" s="223"/>
      <c r="K310" s="25"/>
      <c r="L310" s="265"/>
      <c r="M310" s="223"/>
      <c r="N310" s="234">
        <f>N309/F309</f>
        <v>6.2548413258884231E-2</v>
      </c>
      <c r="O310" s="223"/>
      <c r="P310" s="25"/>
      <c r="Q310" s="265"/>
      <c r="R310" s="223"/>
      <c r="S310" s="262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36"/>
        <v>PiècesPièces recond. MCPA</v>
      </c>
      <c r="B311" s="24" t="s">
        <v>167</v>
      </c>
      <c r="C311" s="251" t="s">
        <v>2983</v>
      </c>
      <c r="D311" s="25">
        <v>0</v>
      </c>
      <c r="E311" s="25">
        <f>IF(D311=0,0,F311/D311)</f>
        <v>0</v>
      </c>
      <c r="F311" s="265">
        <v>0</v>
      </c>
      <c r="G311" s="223">
        <v>0</v>
      </c>
      <c r="H311" s="25">
        <f>IF(G311=0,0,I311/G311)</f>
        <v>0</v>
      </c>
      <c r="I311" s="265">
        <v>0</v>
      </c>
      <c r="J311" s="223">
        <v>0</v>
      </c>
      <c r="K311" s="25">
        <f>IF(J311=0,0,L311/J311)</f>
        <v>0</v>
      </c>
      <c r="L311" s="265">
        <v>0</v>
      </c>
      <c r="M311" s="223"/>
      <c r="N311" s="234"/>
      <c r="O311" s="223">
        <v>0</v>
      </c>
      <c r="P311" s="25">
        <f>IF(O311=0,0,Q311/O311)</f>
        <v>0</v>
      </c>
      <c r="Q311" s="265">
        <v>0</v>
      </c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36"/>
        <v>PiècesAutostock</v>
      </c>
      <c r="B312" s="24" t="s">
        <v>167</v>
      </c>
      <c r="C312" s="294" t="s">
        <v>181</v>
      </c>
      <c r="D312" s="188">
        <v>0</v>
      </c>
      <c r="E312" s="193">
        <f>IF(D312=0,0,F312/D312)</f>
        <v>0</v>
      </c>
      <c r="F312" s="194">
        <v>0</v>
      </c>
      <c r="G312" s="209">
        <v>0</v>
      </c>
      <c r="H312" s="193">
        <f>IF(G312=0,0,I312/G312)</f>
        <v>0</v>
      </c>
      <c r="I312" s="194">
        <v>0</v>
      </c>
      <c r="J312" s="183">
        <v>0</v>
      </c>
      <c r="K312" s="301">
        <f>IF(J312=0,0,L312/J312)</f>
        <v>0</v>
      </c>
      <c r="L312" s="177">
        <v>0</v>
      </c>
      <c r="M312" s="301">
        <f>IF(F312=0,0,(+L312-F312)/F312)</f>
        <v>0</v>
      </c>
      <c r="N312" s="279">
        <f>L312-F312</f>
        <v>0</v>
      </c>
      <c r="O312" s="183">
        <v>0</v>
      </c>
      <c r="P312" s="301">
        <f>IF(O312=0,0,Q312/O312)</f>
        <v>0</v>
      </c>
      <c r="Q312" s="177"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1"/>
      <c r="D313" s="37"/>
      <c r="E313" s="453"/>
      <c r="F313" s="225"/>
      <c r="G313" s="224"/>
      <c r="H313" s="453"/>
      <c r="I313" s="225"/>
      <c r="J313" s="224"/>
      <c r="K313" s="453"/>
      <c r="L313" s="225"/>
      <c r="M313" s="293"/>
      <c r="N313" s="225"/>
      <c r="O313" s="224"/>
      <c r="P313" s="453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36"/>
        <v>PiècesTotal Dépt. Pièces</v>
      </c>
      <c r="B314" s="24" t="s">
        <v>167</v>
      </c>
      <c r="C314" s="256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7">
        <f>L314-Q314</f>
        <v>41641.610000000743</v>
      </c>
      <c r="T314" s="25"/>
      <c r="U314" s="25"/>
      <c r="V314" s="739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36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9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36"/>
        <v>Pièces</v>
      </c>
      <c r="B316" s="24" t="s">
        <v>167</v>
      </c>
      <c r="C316" s="260"/>
      <c r="D316" s="45"/>
      <c r="E316" s="1227"/>
      <c r="F316" s="230"/>
      <c r="G316" s="228"/>
      <c r="H316" s="1227"/>
      <c r="I316" s="230"/>
      <c r="J316" s="228"/>
      <c r="K316" s="1227"/>
      <c r="L316" s="230"/>
      <c r="M316" s="223"/>
      <c r="N316" s="234"/>
      <c r="O316" s="228"/>
      <c r="P316" s="1227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36"/>
        <v>PiècesDEPENSES</v>
      </c>
      <c r="B317" s="24" t="s">
        <v>167</v>
      </c>
      <c r="C317" s="263" t="s">
        <v>99</v>
      </c>
      <c r="D317" s="25"/>
      <c r="E317" s="25"/>
      <c r="F317" s="225"/>
      <c r="G317" s="223"/>
      <c r="H317" s="25"/>
      <c r="I317" s="225"/>
      <c r="J317" s="223"/>
      <c r="K317" s="25"/>
      <c r="L317" s="265"/>
      <c r="M317" s="223"/>
      <c r="N317" s="265"/>
      <c r="O317" s="223"/>
      <c r="P317" s="25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36"/>
        <v>PiècesSalaires cadres</v>
      </c>
      <c r="B318" s="24" t="s">
        <v>167</v>
      </c>
      <c r="C318" s="267" t="s">
        <v>109</v>
      </c>
      <c r="D318" s="25"/>
      <c r="E318" s="25"/>
      <c r="F318" s="1178">
        <v>12824.742617152962</v>
      </c>
      <c r="G318" s="223"/>
      <c r="H318" s="25"/>
      <c r="I318" s="1178">
        <v>0</v>
      </c>
      <c r="J318" s="223"/>
      <c r="K318" s="25"/>
      <c r="L318" s="180">
        <v>13214.06</v>
      </c>
      <c r="M318" s="223"/>
      <c r="N318" s="225">
        <f t="shared" ref="N318:N348" si="45">L318-F318</f>
        <v>389.31738284703715</v>
      </c>
      <c r="O318" s="223"/>
      <c r="P318" s="25"/>
      <c r="Q318" s="180">
        <v>9358.5999999999985</v>
      </c>
      <c r="R318" s="223"/>
      <c r="S318" s="197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36"/>
        <v>PiècesSalaires commis</v>
      </c>
      <c r="B319" s="24" t="s">
        <v>167</v>
      </c>
      <c r="C319" s="268" t="s">
        <v>110</v>
      </c>
      <c r="D319" s="36"/>
      <c r="E319" s="25"/>
      <c r="F319" s="177">
        <v>8509.7287356321849</v>
      </c>
      <c r="G319" s="269"/>
      <c r="H319" s="25"/>
      <c r="I319" s="177">
        <v>0</v>
      </c>
      <c r="J319" s="223"/>
      <c r="K319" s="25"/>
      <c r="L319" s="180">
        <v>8118.27</v>
      </c>
      <c r="M319" s="223"/>
      <c r="N319" s="225">
        <f t="shared" si="45"/>
        <v>-391.45873563218447</v>
      </c>
      <c r="O319" s="223"/>
      <c r="P319" s="25"/>
      <c r="Q319" s="180">
        <v>8016.59</v>
      </c>
      <c r="R319" s="223"/>
      <c r="S319" s="197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36"/>
        <v>PiècesSalaires autres</v>
      </c>
      <c r="B320" s="24" t="s">
        <v>167</v>
      </c>
      <c r="C320" s="267" t="s">
        <v>111</v>
      </c>
      <c r="D320" s="270"/>
      <c r="E320" s="271"/>
      <c r="F320" s="1178">
        <v>42396.423218390803</v>
      </c>
      <c r="G320" s="272"/>
      <c r="H320" s="271"/>
      <c r="I320" s="1178">
        <v>0</v>
      </c>
      <c r="J320" s="273"/>
      <c r="K320" s="271"/>
      <c r="L320" s="181">
        <v>40168.270000000004</v>
      </c>
      <c r="M320" s="273"/>
      <c r="N320" s="274">
        <f t="shared" si="45"/>
        <v>-2228.1532183907984</v>
      </c>
      <c r="O320" s="273"/>
      <c r="P320" s="271"/>
      <c r="Q320" s="181">
        <v>36059.75</v>
      </c>
      <c r="R320" s="273"/>
      <c r="S320" s="199">
        <f t="shared" si="46"/>
        <v>4108.5200000000041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36"/>
        <v>PiècesSalaires spécialistes</v>
      </c>
      <c r="B321" s="24" t="s">
        <v>167</v>
      </c>
      <c r="C321" s="267" t="s">
        <v>112</v>
      </c>
      <c r="D321" s="36"/>
      <c r="E321" s="25"/>
      <c r="F321" s="1178">
        <v>0</v>
      </c>
      <c r="G321" s="269"/>
      <c r="H321" s="25"/>
      <c r="I321" s="1178">
        <v>0</v>
      </c>
      <c r="J321" s="223"/>
      <c r="K321" s="25"/>
      <c r="L321" s="180">
        <v>0</v>
      </c>
      <c r="M321" s="223"/>
      <c r="N321" s="225">
        <f t="shared" si="45"/>
        <v>0</v>
      </c>
      <c r="O321" s="223"/>
      <c r="P321" s="25"/>
      <c r="Q321" s="180">
        <v>0</v>
      </c>
      <c r="R321" s="223"/>
      <c r="S321" s="197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36"/>
        <v>Pièces[...]</v>
      </c>
      <c r="B322" s="24" t="s">
        <v>167</v>
      </c>
      <c r="C322" s="550" t="s">
        <v>42</v>
      </c>
      <c r="D322" s="36"/>
      <c r="E322" s="25"/>
      <c r="F322" s="1178">
        <v>0</v>
      </c>
      <c r="G322" s="269"/>
      <c r="H322" s="25"/>
      <c r="I322" s="1178">
        <v>0</v>
      </c>
      <c r="J322" s="223"/>
      <c r="K322" s="25"/>
      <c r="L322" s="180">
        <v>0</v>
      </c>
      <c r="M322" s="223"/>
      <c r="N322" s="225">
        <f t="shared" si="45"/>
        <v>0</v>
      </c>
      <c r="O322" s="223"/>
      <c r="P322" s="25"/>
      <c r="Q322" s="180"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 t="shared" si="36"/>
        <v>Pièces[...]</v>
      </c>
      <c r="B323" s="24" t="s">
        <v>167</v>
      </c>
      <c r="C323" s="550" t="s">
        <v>42</v>
      </c>
      <c r="D323" s="36"/>
      <c r="E323" s="25"/>
      <c r="F323" s="1178">
        <v>0</v>
      </c>
      <c r="G323" s="269"/>
      <c r="H323" s="25"/>
      <c r="I323" s="1178">
        <v>0</v>
      </c>
      <c r="J323" s="223"/>
      <c r="K323" s="25"/>
      <c r="L323" s="180">
        <v>0</v>
      </c>
      <c r="M323" s="223"/>
      <c r="N323" s="225">
        <f t="shared" si="45"/>
        <v>0</v>
      </c>
      <c r="O323" s="223"/>
      <c r="P323" s="25"/>
      <c r="Q323" s="180"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 t="shared" si="36"/>
        <v>Pièces[...]</v>
      </c>
      <c r="B324" s="24" t="s">
        <v>167</v>
      </c>
      <c r="C324" s="550" t="s">
        <v>42</v>
      </c>
      <c r="D324" s="36"/>
      <c r="E324" s="25"/>
      <c r="F324" s="1178">
        <v>0</v>
      </c>
      <c r="G324" s="269"/>
      <c r="H324" s="25"/>
      <c r="I324" s="1178">
        <v>0</v>
      </c>
      <c r="J324" s="223"/>
      <c r="K324" s="25"/>
      <c r="L324" s="180">
        <v>0</v>
      </c>
      <c r="M324" s="223"/>
      <c r="N324" s="225">
        <f t="shared" si="45"/>
        <v>0</v>
      </c>
      <c r="O324" s="223"/>
      <c r="P324" s="25"/>
      <c r="Q324" s="180"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36"/>
        <v>PiècesSalaires en absences</v>
      </c>
      <c r="B325" s="24" t="s">
        <v>167</v>
      </c>
      <c r="C325" s="268" t="s">
        <v>113</v>
      </c>
      <c r="D325" s="36"/>
      <c r="E325" s="25"/>
      <c r="F325" s="177">
        <v>7859.3369057514938</v>
      </c>
      <c r="G325" s="269"/>
      <c r="H325" s="25"/>
      <c r="I325" s="177">
        <v>0</v>
      </c>
      <c r="J325" s="223"/>
      <c r="K325" s="25"/>
      <c r="L325" s="180">
        <v>10459.39</v>
      </c>
      <c r="M325" s="223"/>
      <c r="N325" s="225">
        <f t="shared" si="45"/>
        <v>2600.0530942485057</v>
      </c>
      <c r="O325" s="223"/>
      <c r="P325" s="25"/>
      <c r="Q325" s="180">
        <v>6987.83</v>
      </c>
      <c r="R325" s="223"/>
      <c r="S325" s="197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36"/>
        <v>PiècesDéduction à la source</v>
      </c>
      <c r="B326" s="24" t="s">
        <v>167</v>
      </c>
      <c r="C326" s="267" t="s">
        <v>114</v>
      </c>
      <c r="D326" s="270"/>
      <c r="E326" s="271"/>
      <c r="F326" s="1178">
        <v>9381.0579108340717</v>
      </c>
      <c r="G326" s="272"/>
      <c r="H326" s="271"/>
      <c r="I326" s="1178">
        <v>0</v>
      </c>
      <c r="J326" s="273"/>
      <c r="K326" s="271"/>
      <c r="L326" s="181">
        <v>13199.93</v>
      </c>
      <c r="M326" s="273"/>
      <c r="N326" s="274">
        <f t="shared" si="45"/>
        <v>3818.8720891659286</v>
      </c>
      <c r="O326" s="273"/>
      <c r="P326" s="271"/>
      <c r="Q326" s="181">
        <v>10497.27</v>
      </c>
      <c r="R326" s="273"/>
      <c r="S326" s="199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36"/>
        <v>PiècesBénéfices marginaux</v>
      </c>
      <c r="B327" s="24" t="s">
        <v>167</v>
      </c>
      <c r="C327" s="267" t="s">
        <v>115</v>
      </c>
      <c r="D327" s="36"/>
      <c r="E327" s="25"/>
      <c r="F327" s="1178">
        <v>5060.8298882404961</v>
      </c>
      <c r="G327" s="269"/>
      <c r="H327" s="25"/>
      <c r="I327" s="1178">
        <v>0</v>
      </c>
      <c r="J327" s="223"/>
      <c r="K327" s="25"/>
      <c r="L327" s="180">
        <v>7784.84</v>
      </c>
      <c r="M327" s="223"/>
      <c r="N327" s="225">
        <f t="shared" si="45"/>
        <v>2724.0101117595041</v>
      </c>
      <c r="O327" s="223"/>
      <c r="P327" s="25"/>
      <c r="Q327" s="180">
        <v>5397.48</v>
      </c>
      <c r="R327" s="223"/>
      <c r="S327" s="197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36"/>
        <v>PiècesCsst</v>
      </c>
      <c r="B328" s="24" t="s">
        <v>167</v>
      </c>
      <c r="C328" s="267" t="s">
        <v>116</v>
      </c>
      <c r="D328" s="36"/>
      <c r="E328" s="25"/>
      <c r="F328" s="1178">
        <v>1084.4635474801062</v>
      </c>
      <c r="G328" s="269"/>
      <c r="H328" s="25"/>
      <c r="I328" s="1178">
        <v>0</v>
      </c>
      <c r="J328" s="223"/>
      <c r="K328" s="25"/>
      <c r="L328" s="180">
        <v>2262.79</v>
      </c>
      <c r="M328" s="746"/>
      <c r="N328" s="194">
        <f t="shared" si="45"/>
        <v>1178.3264525198938</v>
      </c>
      <c r="O328" s="223"/>
      <c r="P328" s="25"/>
      <c r="Q328" s="180">
        <v>468.37</v>
      </c>
      <c r="R328" s="223"/>
      <c r="S328" s="197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36"/>
        <v>Pièces[...]</v>
      </c>
      <c r="B329" s="24" t="s">
        <v>167</v>
      </c>
      <c r="C329" s="550" t="s">
        <v>42</v>
      </c>
      <c r="D329" s="36"/>
      <c r="E329" s="25"/>
      <c r="F329" s="1178">
        <v>0</v>
      </c>
      <c r="G329" s="269"/>
      <c r="H329" s="25"/>
      <c r="I329" s="1178">
        <v>0</v>
      </c>
      <c r="J329" s="223"/>
      <c r="K329" s="25"/>
      <c r="L329" s="180">
        <v>0</v>
      </c>
      <c r="M329" s="223"/>
      <c r="N329" s="225">
        <f>L329-F329</f>
        <v>0</v>
      </c>
      <c r="O329" s="223"/>
      <c r="P329" s="25"/>
      <c r="Q329" s="180">
        <v>0</v>
      </c>
      <c r="R329" s="223"/>
      <c r="S329" s="197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36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1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36"/>
        <v>PiècesPublicité 2</v>
      </c>
      <c r="B331" s="24" t="s">
        <v>167</v>
      </c>
      <c r="C331" s="282" t="s">
        <v>118</v>
      </c>
      <c r="D331" s="36"/>
      <c r="E331" s="25"/>
      <c r="F331" s="1178">
        <v>7574.0507043492289</v>
      </c>
      <c r="G331" s="269"/>
      <c r="H331" s="25"/>
      <c r="I331" s="1178">
        <v>0</v>
      </c>
      <c r="J331" s="223"/>
      <c r="K331" s="25"/>
      <c r="L331" s="180">
        <v>6991.17</v>
      </c>
      <c r="M331" s="223"/>
      <c r="N331" s="225">
        <f t="shared" si="45"/>
        <v>-582.88070434922884</v>
      </c>
      <c r="O331" s="223"/>
      <c r="P331" s="25"/>
      <c r="Q331" s="180">
        <v>8148.74</v>
      </c>
      <c r="R331" s="223"/>
      <c r="S331" s="197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36"/>
        <v>PiècesService gratuit 2</v>
      </c>
      <c r="B332" s="24" t="s">
        <v>167</v>
      </c>
      <c r="C332" s="267" t="s">
        <v>119</v>
      </c>
      <c r="D332" s="36"/>
      <c r="E332" s="25"/>
      <c r="F332" s="1178">
        <v>1725</v>
      </c>
      <c r="G332" s="269"/>
      <c r="H332" s="25"/>
      <c r="I332" s="1178">
        <v>0</v>
      </c>
      <c r="J332" s="223"/>
      <c r="K332" s="25"/>
      <c r="L332" s="225">
        <v>1002.47</v>
      </c>
      <c r="M332" s="223"/>
      <c r="N332" s="225">
        <f t="shared" si="45"/>
        <v>-722.53</v>
      </c>
      <c r="O332" s="223"/>
      <c r="P332" s="25"/>
      <c r="Q332" s="180">
        <v>591.88</v>
      </c>
      <c r="R332" s="223"/>
      <c r="S332" s="197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36"/>
        <v>PiècesFrais véhicules de cie</v>
      </c>
      <c r="B333" s="24" t="s">
        <v>167</v>
      </c>
      <c r="C333" s="268" t="s">
        <v>120</v>
      </c>
      <c r="D333" s="275"/>
      <c r="E333" s="276"/>
      <c r="F333" s="177">
        <v>15561.8</v>
      </c>
      <c r="G333" s="277"/>
      <c r="H333" s="276"/>
      <c r="I333" s="177">
        <v>0</v>
      </c>
      <c r="J333" s="278"/>
      <c r="K333" s="276"/>
      <c r="L333" s="279">
        <v>16064.299999999997</v>
      </c>
      <c r="M333" s="278"/>
      <c r="N333" s="279">
        <f t="shared" si="45"/>
        <v>502.49999999999818</v>
      </c>
      <c r="O333" s="278"/>
      <c r="P333" s="276"/>
      <c r="Q333" s="180">
        <v>15418.6</v>
      </c>
      <c r="R333" s="278"/>
      <c r="S333" s="200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36"/>
        <v>PiècesInformatique</v>
      </c>
      <c r="B334" s="24" t="s">
        <v>167</v>
      </c>
      <c r="C334" s="267" t="s">
        <v>121</v>
      </c>
      <c r="D334" s="36"/>
      <c r="E334" s="25"/>
      <c r="F334" s="1178">
        <v>5480.4000000000005</v>
      </c>
      <c r="G334" s="269"/>
      <c r="H334" s="25"/>
      <c r="I334" s="1178">
        <v>0</v>
      </c>
      <c r="J334" s="223"/>
      <c r="K334" s="25"/>
      <c r="L334" s="181">
        <v>5449.26</v>
      </c>
      <c r="M334" s="223"/>
      <c r="N334" s="225">
        <f t="shared" si="45"/>
        <v>-31.140000000000327</v>
      </c>
      <c r="O334" s="223"/>
      <c r="P334" s="25"/>
      <c r="Q334" s="181">
        <v>5214.96</v>
      </c>
      <c r="R334" s="223"/>
      <c r="S334" s="197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36"/>
        <v>PiècesFrais de déplacement</v>
      </c>
      <c r="B335" s="24" t="s">
        <v>167</v>
      </c>
      <c r="C335" s="267" t="s">
        <v>122</v>
      </c>
      <c r="D335" s="36"/>
      <c r="E335" s="25"/>
      <c r="F335" s="1178">
        <v>1100</v>
      </c>
      <c r="G335" s="269"/>
      <c r="H335" s="25"/>
      <c r="I335" s="1178">
        <v>0</v>
      </c>
      <c r="J335" s="223"/>
      <c r="K335" s="25"/>
      <c r="L335" s="180">
        <v>251.52999999999997</v>
      </c>
      <c r="M335" s="223"/>
      <c r="N335" s="225">
        <f t="shared" si="45"/>
        <v>-848.47</v>
      </c>
      <c r="O335" s="223"/>
      <c r="P335" s="25"/>
      <c r="Q335" s="180">
        <v>143.92000000000002</v>
      </c>
      <c r="R335" s="223"/>
      <c r="S335" s="197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36"/>
        <v>PiècesServices extérieurs</v>
      </c>
      <c r="B336" s="24" t="s">
        <v>167</v>
      </c>
      <c r="C336" s="587" t="s">
        <v>123</v>
      </c>
      <c r="D336" s="275"/>
      <c r="E336" s="276"/>
      <c r="F336" s="177">
        <v>6069.6</v>
      </c>
      <c r="G336" s="277"/>
      <c r="H336" s="276"/>
      <c r="I336" s="177">
        <v>0</v>
      </c>
      <c r="J336" s="278"/>
      <c r="K336" s="276"/>
      <c r="L336" s="350">
        <v>5917.33</v>
      </c>
      <c r="M336" s="278"/>
      <c r="N336" s="279">
        <f t="shared" si="45"/>
        <v>-152.27000000000044</v>
      </c>
      <c r="O336" s="278"/>
      <c r="P336" s="276"/>
      <c r="Q336" s="350">
        <v>5010.63</v>
      </c>
      <c r="R336" s="278"/>
      <c r="S336" s="200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36"/>
        <v>PiècesFournitures d'atelier</v>
      </c>
      <c r="B337" s="24" t="s">
        <v>167</v>
      </c>
      <c r="C337" s="267" t="s">
        <v>350</v>
      </c>
      <c r="D337" s="36"/>
      <c r="E337" s="25"/>
      <c r="F337" s="1178">
        <v>0</v>
      </c>
      <c r="G337" s="269"/>
      <c r="H337" s="25"/>
      <c r="I337" s="1178">
        <v>0</v>
      </c>
      <c r="J337" s="223"/>
      <c r="K337" s="25"/>
      <c r="L337" s="180">
        <v>0</v>
      </c>
      <c r="M337" s="223"/>
      <c r="N337" s="225">
        <f t="shared" si="45"/>
        <v>0</v>
      </c>
      <c r="O337" s="223"/>
      <c r="P337" s="25"/>
      <c r="Q337" s="180"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36"/>
        <v>PiècesFournitures autres</v>
      </c>
      <c r="B338" s="24" t="s">
        <v>167</v>
      </c>
      <c r="C338" s="267" t="s">
        <v>124</v>
      </c>
      <c r="D338" s="36"/>
      <c r="E338" s="25"/>
      <c r="F338" s="1178">
        <v>30</v>
      </c>
      <c r="G338" s="269"/>
      <c r="H338" s="25"/>
      <c r="I338" s="1178">
        <v>0</v>
      </c>
      <c r="J338" s="223"/>
      <c r="K338" s="25"/>
      <c r="L338" s="180">
        <v>108.77</v>
      </c>
      <c r="M338" s="223"/>
      <c r="N338" s="225">
        <f t="shared" si="45"/>
        <v>78.77</v>
      </c>
      <c r="O338" s="223"/>
      <c r="P338" s="25"/>
      <c r="Q338" s="180">
        <v>0</v>
      </c>
      <c r="R338" s="223"/>
      <c r="S338" s="197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36"/>
        <v>PiècesUniformes</v>
      </c>
      <c r="B339" s="24" t="s">
        <v>167</v>
      </c>
      <c r="C339" s="267" t="s">
        <v>125</v>
      </c>
      <c r="D339" s="36"/>
      <c r="E339" s="25"/>
      <c r="F339" s="1178">
        <v>60</v>
      </c>
      <c r="G339" s="269"/>
      <c r="H339" s="25"/>
      <c r="I339" s="1178">
        <v>0</v>
      </c>
      <c r="J339" s="223"/>
      <c r="K339" s="25"/>
      <c r="L339" s="180">
        <v>0</v>
      </c>
      <c r="M339" s="223"/>
      <c r="N339" s="225">
        <f t="shared" si="45"/>
        <v>-60</v>
      </c>
      <c r="O339" s="223"/>
      <c r="P339" s="25"/>
      <c r="Q339" s="180">
        <v>150</v>
      </c>
      <c r="R339" s="223"/>
      <c r="S339" s="197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36"/>
        <v>PiècesPapeterie</v>
      </c>
      <c r="B340" s="24" t="s">
        <v>167</v>
      </c>
      <c r="C340" s="267" t="s">
        <v>126</v>
      </c>
      <c r="D340" s="36"/>
      <c r="E340" s="25"/>
      <c r="F340" s="1178">
        <v>945</v>
      </c>
      <c r="G340" s="269"/>
      <c r="H340" s="25"/>
      <c r="I340" s="1178">
        <v>0</v>
      </c>
      <c r="J340" s="223"/>
      <c r="K340" s="25"/>
      <c r="L340" s="473">
        <v>717.62</v>
      </c>
      <c r="M340" s="223"/>
      <c r="N340" s="225">
        <f t="shared" si="45"/>
        <v>-227.38</v>
      </c>
      <c r="O340" s="223"/>
      <c r="P340" s="25"/>
      <c r="Q340" s="473">
        <v>880.82</v>
      </c>
      <c r="R340" s="223"/>
      <c r="S340" s="197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36"/>
        <v>PiècesTéléphone</v>
      </c>
      <c r="B341" s="24" t="s">
        <v>167</v>
      </c>
      <c r="C341" s="267" t="s">
        <v>127</v>
      </c>
      <c r="D341" s="36"/>
      <c r="E341" s="25"/>
      <c r="F341" s="1178">
        <v>355.20000000000005</v>
      </c>
      <c r="G341" s="269"/>
      <c r="H341" s="25"/>
      <c r="I341" s="1178">
        <v>0</v>
      </c>
      <c r="J341" s="223"/>
      <c r="K341" s="25"/>
      <c r="L341" s="180">
        <v>329.33</v>
      </c>
      <c r="M341" s="223"/>
      <c r="N341" s="225">
        <f t="shared" si="45"/>
        <v>-25.870000000000061</v>
      </c>
      <c r="O341" s="223"/>
      <c r="P341" s="25"/>
      <c r="Q341" s="180">
        <v>301.05</v>
      </c>
      <c r="R341" s="223"/>
      <c r="S341" s="197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36"/>
        <v>PiècesFrais postaux</v>
      </c>
      <c r="B342" s="24" t="s">
        <v>167</v>
      </c>
      <c r="C342" s="267" t="s">
        <v>128</v>
      </c>
      <c r="D342" s="36"/>
      <c r="E342" s="25"/>
      <c r="F342" s="1178">
        <v>1770</v>
      </c>
      <c r="G342" s="269"/>
      <c r="H342" s="25"/>
      <c r="I342" s="1178">
        <v>0</v>
      </c>
      <c r="J342" s="223"/>
      <c r="K342" s="25"/>
      <c r="L342" s="180">
        <v>2455.7300000000005</v>
      </c>
      <c r="M342" s="223"/>
      <c r="N342" s="225">
        <f t="shared" si="45"/>
        <v>685.73000000000047</v>
      </c>
      <c r="O342" s="223"/>
      <c r="P342" s="25"/>
      <c r="Q342" s="180">
        <v>214.02999999999997</v>
      </c>
      <c r="R342" s="223"/>
      <c r="S342" s="197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36"/>
        <v>PiècesDivers</v>
      </c>
      <c r="B343" s="24" t="s">
        <v>167</v>
      </c>
      <c r="C343" s="267" t="s">
        <v>129</v>
      </c>
      <c r="D343" s="36"/>
      <c r="E343" s="25"/>
      <c r="F343" s="1178">
        <v>1044.6000000000001</v>
      </c>
      <c r="G343" s="269"/>
      <c r="H343" s="25"/>
      <c r="I343" s="1178">
        <v>0</v>
      </c>
      <c r="J343" s="223"/>
      <c r="K343" s="25"/>
      <c r="L343" s="180">
        <v>1399.3400000000001</v>
      </c>
      <c r="M343" s="223"/>
      <c r="N343" s="225">
        <f t="shared" si="45"/>
        <v>354.74</v>
      </c>
      <c r="O343" s="223"/>
      <c r="P343" s="25"/>
      <c r="Q343" s="180">
        <v>948.59999999999991</v>
      </c>
      <c r="R343" s="223"/>
      <c r="S343" s="197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36"/>
        <v>PiècesFormation</v>
      </c>
      <c r="B344" s="24" t="s">
        <v>167</v>
      </c>
      <c r="C344" s="267" t="s">
        <v>130</v>
      </c>
      <c r="D344" s="36"/>
      <c r="E344" s="25"/>
      <c r="F344" s="1178">
        <v>769.24467999999979</v>
      </c>
      <c r="G344" s="269"/>
      <c r="H344" s="25"/>
      <c r="I344" s="1178">
        <v>0</v>
      </c>
      <c r="J344" s="223"/>
      <c r="K344" s="25"/>
      <c r="L344" s="225">
        <v>227.98999999999998</v>
      </c>
      <c r="M344" s="223"/>
      <c r="N344" s="225">
        <f t="shared" si="45"/>
        <v>-541.25467999999978</v>
      </c>
      <c r="O344" s="223"/>
      <c r="P344" s="25"/>
      <c r="Q344" s="180">
        <v>736.98</v>
      </c>
      <c r="R344" s="223"/>
      <c r="S344" s="197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 t="shared" si="36"/>
        <v>PiècesFrais bancaires</v>
      </c>
      <c r="B345" s="24" t="s">
        <v>167</v>
      </c>
      <c r="C345" s="267" t="s">
        <v>131</v>
      </c>
      <c r="D345" s="36"/>
      <c r="E345" s="25"/>
      <c r="F345" s="1178">
        <v>3978.7998720632413</v>
      </c>
      <c r="G345" s="269"/>
      <c r="H345" s="25"/>
      <c r="I345" s="1178">
        <v>0</v>
      </c>
      <c r="J345" s="223"/>
      <c r="K345" s="25"/>
      <c r="L345" s="473">
        <v>3274.8500000000004</v>
      </c>
      <c r="M345" s="223"/>
      <c r="N345" s="225">
        <f t="shared" si="45"/>
        <v>-703.94987206324095</v>
      </c>
      <c r="O345" s="223"/>
      <c r="P345" s="25"/>
      <c r="Q345" s="180">
        <v>3402.76</v>
      </c>
      <c r="R345" s="223"/>
      <c r="S345" s="197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 t="shared" si="36"/>
        <v>Pièces[...]</v>
      </c>
      <c r="B346" s="24" t="s">
        <v>167</v>
      </c>
      <c r="C346" s="267" t="s">
        <v>42</v>
      </c>
      <c r="D346" s="36"/>
      <c r="E346" s="25"/>
      <c r="F346" s="1178">
        <v>0</v>
      </c>
      <c r="G346" s="269"/>
      <c r="H346" s="25"/>
      <c r="I346" s="1178">
        <v>0</v>
      </c>
      <c r="J346" s="223"/>
      <c r="K346" s="25"/>
      <c r="L346" s="180">
        <v>0</v>
      </c>
      <c r="M346" s="223"/>
      <c r="N346" s="225">
        <f t="shared" si="45"/>
        <v>0</v>
      </c>
      <c r="O346" s="223"/>
      <c r="P346" s="25"/>
      <c r="Q346" s="180"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 t="shared" si="36"/>
        <v>Pièces[...]</v>
      </c>
      <c r="B347" s="24" t="s">
        <v>167</v>
      </c>
      <c r="C347" s="267" t="s">
        <v>42</v>
      </c>
      <c r="D347" s="36"/>
      <c r="E347" s="25"/>
      <c r="F347" s="1178">
        <v>0</v>
      </c>
      <c r="G347" s="269"/>
      <c r="H347" s="25"/>
      <c r="I347" s="1178">
        <v>0</v>
      </c>
      <c r="J347" s="223"/>
      <c r="K347" s="25"/>
      <c r="L347" s="180">
        <v>0</v>
      </c>
      <c r="M347" s="223"/>
      <c r="N347" s="225">
        <f t="shared" si="45"/>
        <v>0</v>
      </c>
      <c r="O347" s="223"/>
      <c r="P347" s="25"/>
      <c r="Q347" s="180"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 t="shared" si="36"/>
        <v>Pièces[...]</v>
      </c>
      <c r="B348" s="24" t="s">
        <v>167</v>
      </c>
      <c r="C348" s="267" t="s">
        <v>42</v>
      </c>
      <c r="D348" s="36"/>
      <c r="E348" s="25"/>
      <c r="F348" s="1178">
        <v>0</v>
      </c>
      <c r="G348" s="269"/>
      <c r="H348" s="25"/>
      <c r="I348" s="1178">
        <v>0</v>
      </c>
      <c r="J348" s="223"/>
      <c r="K348" s="25"/>
      <c r="L348" s="180">
        <v>0</v>
      </c>
      <c r="M348" s="223"/>
      <c r="N348" s="225">
        <f t="shared" si="45"/>
        <v>0</v>
      </c>
      <c r="O348" s="223"/>
      <c r="P348" s="25"/>
      <c r="Q348" s="180"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5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1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36"/>
      <c r="E352" s="25"/>
      <c r="F352" s="225"/>
      <c r="G352" s="269"/>
      <c r="H352" s="25"/>
      <c r="I352" s="225"/>
      <c r="J352" s="223"/>
      <c r="K352" s="25"/>
      <c r="L352" s="225"/>
      <c r="M352" s="223"/>
      <c r="N352" s="225"/>
      <c r="O352" s="223"/>
      <c r="P352" s="25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133974.44832364892</v>
      </c>
      <c r="G353" s="307"/>
      <c r="H353" s="305"/>
      <c r="I353" s="306">
        <f>I314-I351</f>
        <v>0</v>
      </c>
      <c r="J353" s="308"/>
      <c r="K353" s="309"/>
      <c r="L353" s="306">
        <f>L314-L351</f>
        <v>144892.61000000004</v>
      </c>
      <c r="M353" s="308"/>
      <c r="N353" s="306">
        <f>L353-F353</f>
        <v>10918.161676351127</v>
      </c>
      <c r="O353" s="308"/>
      <c r="P353" s="309"/>
      <c r="Q353" s="306">
        <f>Q314-Q351</f>
        <v>124699.37999999929</v>
      </c>
      <c r="R353" s="308"/>
      <c r="S353" s="310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79" t="s">
        <v>77</v>
      </c>
      <c r="E358" s="1280"/>
      <c r="F358" s="1281"/>
      <c r="G358" s="1284" t="s">
        <v>2981</v>
      </c>
      <c r="H358" s="1280"/>
      <c r="I358" s="1281"/>
      <c r="J358" s="1284" t="s">
        <v>78</v>
      </c>
      <c r="K358" s="1280"/>
      <c r="L358" s="1281"/>
      <c r="M358" s="1284"/>
      <c r="N358" s="1281"/>
      <c r="O358" s="1279" t="s">
        <v>79</v>
      </c>
      <c r="P358" s="1280"/>
      <c r="Q358" s="1281"/>
      <c r="R358" s="1284" t="s">
        <v>80</v>
      </c>
      <c r="S358" s="1288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 t="s">
        <v>149</v>
      </c>
      <c r="H359" s="203" t="s">
        <v>168</v>
      </c>
      <c r="I359" s="204" t="s">
        <v>83</v>
      </c>
      <c r="J359" s="252" t="s">
        <v>149</v>
      </c>
      <c r="K359" s="457" t="s">
        <v>168</v>
      </c>
      <c r="L359" s="254" t="s">
        <v>83</v>
      </c>
      <c r="M359" s="252"/>
      <c r="N359" s="254"/>
      <c r="O359" s="252" t="s">
        <v>149</v>
      </c>
      <c r="P359" s="457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47"/>
        <v>BoutiqueBoutique</v>
      </c>
      <c r="B360" s="24" t="s">
        <v>183</v>
      </c>
      <c r="C360" s="256" t="s">
        <v>183</v>
      </c>
      <c r="D360" s="1228">
        <v>0</v>
      </c>
      <c r="E360" s="1229">
        <f>IFERROR(F360/D360,0)</f>
        <v>0</v>
      </c>
      <c r="F360" s="206">
        <v>0</v>
      </c>
      <c r="G360" s="1228">
        <v>0</v>
      </c>
      <c r="H360" s="1229">
        <f>IFERROR(I360/G360,0)</f>
        <v>0</v>
      </c>
      <c r="I360" s="1228">
        <v>0</v>
      </c>
      <c r="J360" s="219">
        <v>0</v>
      </c>
      <c r="K360" s="71">
        <f>IFERROR(L360/J360,0)</f>
        <v>0</v>
      </c>
      <c r="L360" s="218">
        <v>0</v>
      </c>
      <c r="M360" s="72"/>
      <c r="N360" s="73"/>
      <c r="O360" s="219">
        <v>0</v>
      </c>
      <c r="P360" s="71">
        <f>IFERROR(Q360/O360,0)</f>
        <v>0</v>
      </c>
      <c r="Q360" s="218"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4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47"/>
        <v>BoutiqueTotal Dépt. Boutique</v>
      </c>
      <c r="B362" s="24" t="s">
        <v>183</v>
      </c>
      <c r="C362" s="260" t="s">
        <v>184</v>
      </c>
      <c r="D362" s="1230">
        <f>+D360</f>
        <v>0</v>
      </c>
      <c r="E362" s="1227">
        <f>IF(D362&lt;=0,0,F362/D362)</f>
        <v>0</v>
      </c>
      <c r="F362" s="230">
        <f>+F360</f>
        <v>0</v>
      </c>
      <c r="G362" s="228">
        <f>+G360</f>
        <v>0</v>
      </c>
      <c r="H362" s="1227">
        <f>IF(G362&lt;=0,0,I362/G362)</f>
        <v>0</v>
      </c>
      <c r="I362" s="230">
        <f>+I360</f>
        <v>0</v>
      </c>
      <c r="J362" s="228">
        <f>+J360</f>
        <v>0</v>
      </c>
      <c r="K362" s="1227">
        <f>IF(J362&lt;=0,0,L362/J362)</f>
        <v>0</v>
      </c>
      <c r="L362" s="230">
        <f>+L360</f>
        <v>0</v>
      </c>
      <c r="M362" s="1187"/>
      <c r="N362" s="542"/>
      <c r="O362" s="228">
        <f>+O360</f>
        <v>0</v>
      </c>
      <c r="P362" s="1227">
        <f>IF(O362&lt;=0,0,Q362/O362)</f>
        <v>0</v>
      </c>
      <c r="Q362" s="230">
        <f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47"/>
        <v>Boutique</v>
      </c>
      <c r="B363" s="24" t="s">
        <v>183</v>
      </c>
      <c r="C363" s="263"/>
      <c r="D363" s="25"/>
      <c r="E363" s="25"/>
      <c r="F363" s="225"/>
      <c r="G363" s="223"/>
      <c r="H363" s="605"/>
      <c r="I363" s="225"/>
      <c r="J363" s="223"/>
      <c r="K363" s="25"/>
      <c r="L363" s="265"/>
      <c r="M363" s="223"/>
      <c r="N363" s="1188"/>
      <c r="O363" s="223"/>
      <c r="P363" s="25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47"/>
        <v>BoutiqueDEPENSES</v>
      </c>
      <c r="B364" s="24" t="s">
        <v>183</v>
      </c>
      <c r="C364" s="263" t="s">
        <v>99</v>
      </c>
      <c r="D364" s="25"/>
      <c r="E364" s="25"/>
      <c r="F364" s="225"/>
      <c r="G364" s="223"/>
      <c r="H364" s="25"/>
      <c r="I364" s="225"/>
      <c r="J364" s="223"/>
      <c r="K364" s="25"/>
      <c r="L364" s="265"/>
      <c r="M364" s="223"/>
      <c r="N364" s="265"/>
      <c r="O364" s="223"/>
      <c r="P364" s="25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47"/>
        <v>BoutiqueSalaires cadres</v>
      </c>
      <c r="B365" s="24" t="s">
        <v>183</v>
      </c>
      <c r="C365" s="267" t="s">
        <v>109</v>
      </c>
      <c r="D365" s="25"/>
      <c r="E365" s="25"/>
      <c r="F365" s="1178">
        <v>0</v>
      </c>
      <c r="G365" s="223"/>
      <c r="H365" s="25"/>
      <c r="I365" s="1178">
        <v>0</v>
      </c>
      <c r="J365" s="223"/>
      <c r="K365" s="25"/>
      <c r="L365" s="180">
        <v>0</v>
      </c>
      <c r="M365" s="223"/>
      <c r="N365" s="265"/>
      <c r="O365" s="223"/>
      <c r="P365" s="25"/>
      <c r="Q365" s="180">
        <v>0</v>
      </c>
      <c r="R365" s="223"/>
      <c r="S365" s="345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47"/>
        <v>BoutiqueSalaires commis</v>
      </c>
      <c r="B366" s="24" t="s">
        <v>183</v>
      </c>
      <c r="C366" s="268" t="s">
        <v>110</v>
      </c>
      <c r="D366" s="36"/>
      <c r="E366" s="25"/>
      <c r="F366" s="177">
        <v>0</v>
      </c>
      <c r="G366" s="269"/>
      <c r="H366" s="25"/>
      <c r="I366" s="177">
        <v>0</v>
      </c>
      <c r="J366" s="223"/>
      <c r="K366" s="25"/>
      <c r="L366" s="177">
        <v>0</v>
      </c>
      <c r="M366" s="223"/>
      <c r="N366" s="225"/>
      <c r="O366" s="223"/>
      <c r="P366" s="25"/>
      <c r="Q366" s="177">
        <v>0</v>
      </c>
      <c r="R366" s="223"/>
      <c r="S366" s="197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47"/>
        <v>BoutiqueSalaires autres</v>
      </c>
      <c r="B367" s="24" t="s">
        <v>183</v>
      </c>
      <c r="C367" s="267" t="s">
        <v>111</v>
      </c>
      <c r="D367" s="270"/>
      <c r="E367" s="271"/>
      <c r="F367" s="1178">
        <v>0</v>
      </c>
      <c r="G367" s="272"/>
      <c r="H367" s="271"/>
      <c r="I367" s="1178">
        <v>0</v>
      </c>
      <c r="J367" s="273"/>
      <c r="K367" s="271"/>
      <c r="L367" s="180">
        <v>0</v>
      </c>
      <c r="M367" s="273"/>
      <c r="N367" s="274"/>
      <c r="O367" s="273"/>
      <c r="P367" s="271"/>
      <c r="Q367" s="180">
        <v>0</v>
      </c>
      <c r="R367" s="273"/>
      <c r="S367" s="199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47"/>
        <v>BoutiqueSalaires spécialistes</v>
      </c>
      <c r="B368" s="24" t="s">
        <v>183</v>
      </c>
      <c r="C368" s="267" t="s">
        <v>112</v>
      </c>
      <c r="D368" s="36"/>
      <c r="E368" s="25"/>
      <c r="F368" s="1178">
        <v>0</v>
      </c>
      <c r="G368" s="269"/>
      <c r="H368" s="25"/>
      <c r="I368" s="1178">
        <v>0</v>
      </c>
      <c r="J368" s="223"/>
      <c r="K368" s="25"/>
      <c r="L368" s="180">
        <v>0</v>
      </c>
      <c r="M368" s="223"/>
      <c r="N368" s="225"/>
      <c r="O368" s="223"/>
      <c r="P368" s="25"/>
      <c r="Q368" s="180">
        <v>0</v>
      </c>
      <c r="R368" s="223"/>
      <c r="S368" s="197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47"/>
        <v>Boutique[...]</v>
      </c>
      <c r="B369" s="24" t="s">
        <v>183</v>
      </c>
      <c r="C369" s="251" t="s">
        <v>42</v>
      </c>
      <c r="D369" s="36"/>
      <c r="E369" s="25"/>
      <c r="F369" s="1178">
        <v>0</v>
      </c>
      <c r="G369" s="269"/>
      <c r="H369" s="25"/>
      <c r="I369" s="1178">
        <v>0</v>
      </c>
      <c r="J369" s="223"/>
      <c r="K369" s="25"/>
      <c r="L369" s="180">
        <v>0</v>
      </c>
      <c r="M369" s="223"/>
      <c r="N369" s="225"/>
      <c r="O369" s="223"/>
      <c r="P369" s="25"/>
      <c r="Q369" s="180">
        <v>0</v>
      </c>
      <c r="R369" s="223"/>
      <c r="S369" s="197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47"/>
        <v>Boutique[...]</v>
      </c>
      <c r="B370" s="24" t="s">
        <v>183</v>
      </c>
      <c r="C370" s="251" t="s">
        <v>42</v>
      </c>
      <c r="D370" s="36"/>
      <c r="E370" s="25"/>
      <c r="F370" s="1178">
        <v>0</v>
      </c>
      <c r="G370" s="269"/>
      <c r="H370" s="25"/>
      <c r="I370" s="1178">
        <v>0</v>
      </c>
      <c r="J370" s="223"/>
      <c r="K370" s="25"/>
      <c r="L370" s="180">
        <v>0</v>
      </c>
      <c r="M370" s="223"/>
      <c r="N370" s="225"/>
      <c r="O370" s="223"/>
      <c r="P370" s="25"/>
      <c r="Q370" s="180">
        <v>0</v>
      </c>
      <c r="R370" s="223"/>
      <c r="S370" s="197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47"/>
        <v>Boutique[...]</v>
      </c>
      <c r="B371" s="24" t="s">
        <v>183</v>
      </c>
      <c r="C371" s="251" t="s">
        <v>42</v>
      </c>
      <c r="D371" s="36"/>
      <c r="E371" s="25"/>
      <c r="F371" s="1178">
        <v>0</v>
      </c>
      <c r="G371" s="269"/>
      <c r="H371" s="25"/>
      <c r="I371" s="1178">
        <v>0</v>
      </c>
      <c r="J371" s="223"/>
      <c r="K371" s="25"/>
      <c r="L371" s="180">
        <v>0</v>
      </c>
      <c r="M371" s="223"/>
      <c r="N371" s="225"/>
      <c r="O371" s="223"/>
      <c r="P371" s="25"/>
      <c r="Q371" s="180">
        <v>0</v>
      </c>
      <c r="R371" s="223"/>
      <c r="S371" s="197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47"/>
        <v>BoutiqueSalaires en absences</v>
      </c>
      <c r="B372" s="24" t="s">
        <v>183</v>
      </c>
      <c r="C372" s="268" t="s">
        <v>113</v>
      </c>
      <c r="D372" s="36"/>
      <c r="E372" s="25"/>
      <c r="F372" s="177">
        <v>0</v>
      </c>
      <c r="G372" s="269"/>
      <c r="H372" s="25"/>
      <c r="I372" s="177">
        <v>0</v>
      </c>
      <c r="J372" s="223"/>
      <c r="K372" s="25"/>
      <c r="L372" s="177">
        <v>0</v>
      </c>
      <c r="M372" s="223"/>
      <c r="N372" s="225"/>
      <c r="O372" s="223"/>
      <c r="P372" s="25"/>
      <c r="Q372" s="177">
        <v>0</v>
      </c>
      <c r="R372" s="223"/>
      <c r="S372" s="197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47"/>
        <v>BoutiqueDéduction à la source</v>
      </c>
      <c r="B373" s="24" t="s">
        <v>183</v>
      </c>
      <c r="C373" s="267" t="s">
        <v>114</v>
      </c>
      <c r="D373" s="270"/>
      <c r="E373" s="271"/>
      <c r="F373" s="1178">
        <v>0</v>
      </c>
      <c r="G373" s="272"/>
      <c r="H373" s="271"/>
      <c r="I373" s="1178">
        <v>0</v>
      </c>
      <c r="J373" s="273"/>
      <c r="K373" s="271"/>
      <c r="L373" s="180">
        <v>0</v>
      </c>
      <c r="M373" s="273"/>
      <c r="N373" s="274"/>
      <c r="O373" s="273"/>
      <c r="P373" s="271"/>
      <c r="Q373" s="180">
        <v>0</v>
      </c>
      <c r="R373" s="273"/>
      <c r="S373" s="199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47"/>
        <v>BoutiqueBénéfices marginaux</v>
      </c>
      <c r="B374" s="24" t="s">
        <v>183</v>
      </c>
      <c r="C374" s="267" t="s">
        <v>115</v>
      </c>
      <c r="D374" s="36"/>
      <c r="E374" s="25"/>
      <c r="F374" s="1178">
        <v>0</v>
      </c>
      <c r="G374" s="269"/>
      <c r="H374" s="25"/>
      <c r="I374" s="1178">
        <v>0</v>
      </c>
      <c r="J374" s="223"/>
      <c r="K374" s="25"/>
      <c r="L374" s="180">
        <v>0</v>
      </c>
      <c r="M374" s="223"/>
      <c r="N374" s="225"/>
      <c r="O374" s="223"/>
      <c r="P374" s="25"/>
      <c r="Q374" s="180">
        <v>0</v>
      </c>
      <c r="R374" s="223"/>
      <c r="S374" s="197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47"/>
        <v>BoutiqueCsst</v>
      </c>
      <c r="B375" s="24" t="s">
        <v>183</v>
      </c>
      <c r="C375" s="267" t="s">
        <v>116</v>
      </c>
      <c r="D375" s="36"/>
      <c r="E375" s="25"/>
      <c r="F375" s="1178">
        <v>0</v>
      </c>
      <c r="G375" s="269"/>
      <c r="H375" s="25"/>
      <c r="I375" s="1178">
        <v>0</v>
      </c>
      <c r="J375" s="223"/>
      <c r="K375" s="25"/>
      <c r="L375" s="180">
        <v>0</v>
      </c>
      <c r="M375" s="223"/>
      <c r="N375" s="225"/>
      <c r="O375" s="223"/>
      <c r="P375" s="25"/>
      <c r="Q375" s="180">
        <v>0</v>
      </c>
      <c r="R375" s="223"/>
      <c r="S375" s="197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47"/>
        <v>Boutique[...]</v>
      </c>
      <c r="B376" s="24" t="s">
        <v>183</v>
      </c>
      <c r="C376" s="251" t="s">
        <v>42</v>
      </c>
      <c r="D376" s="275"/>
      <c r="E376" s="276"/>
      <c r="F376" s="1178">
        <v>0</v>
      </c>
      <c r="G376" s="277"/>
      <c r="H376" s="276"/>
      <c r="I376" s="1178">
        <v>0</v>
      </c>
      <c r="J376" s="278"/>
      <c r="K376" s="276"/>
      <c r="L376" s="180">
        <v>0</v>
      </c>
      <c r="M376" s="278"/>
      <c r="N376" s="279"/>
      <c r="O376" s="278"/>
      <c r="P376" s="276"/>
      <c r="Q376" s="180">
        <v>0</v>
      </c>
      <c r="R376" s="278"/>
      <c r="S376" s="200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4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47"/>
        <v>BoutiquePublicité 2</v>
      </c>
      <c r="B378" s="24" t="s">
        <v>183</v>
      </c>
      <c r="C378" s="282" t="s">
        <v>118</v>
      </c>
      <c r="D378" s="36"/>
      <c r="E378" s="25"/>
      <c r="F378" s="1178">
        <v>0</v>
      </c>
      <c r="G378" s="269"/>
      <c r="H378" s="25"/>
      <c r="I378" s="1178">
        <v>0</v>
      </c>
      <c r="J378" s="223"/>
      <c r="K378" s="25"/>
      <c r="L378" s="180">
        <v>0</v>
      </c>
      <c r="M378" s="223"/>
      <c r="N378" s="225"/>
      <c r="O378" s="223"/>
      <c r="P378" s="25"/>
      <c r="Q378" s="180">
        <v>0</v>
      </c>
      <c r="R378" s="223"/>
      <c r="S378" s="197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47"/>
        <v>BoutiqueService gratuit 2</v>
      </c>
      <c r="B379" s="24" t="s">
        <v>183</v>
      </c>
      <c r="C379" s="267" t="s">
        <v>119</v>
      </c>
      <c r="D379" s="36"/>
      <c r="E379" s="25"/>
      <c r="F379" s="1178">
        <v>0</v>
      </c>
      <c r="G379" s="269"/>
      <c r="H379" s="25"/>
      <c r="I379" s="1178">
        <v>0</v>
      </c>
      <c r="J379" s="223"/>
      <c r="K379" s="25"/>
      <c r="L379" s="180">
        <v>0</v>
      </c>
      <c r="M379" s="223"/>
      <c r="N379" s="225"/>
      <c r="O379" s="223"/>
      <c r="P379" s="25"/>
      <c r="Q379" s="180">
        <v>0</v>
      </c>
      <c r="R379" s="223"/>
      <c r="S379" s="197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4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v>0</v>
      </c>
      <c r="G380" s="277"/>
      <c r="H380" s="276"/>
      <c r="I380" s="177">
        <v>0</v>
      </c>
      <c r="J380" s="278"/>
      <c r="K380" s="276"/>
      <c r="L380" s="177">
        <v>0</v>
      </c>
      <c r="M380" s="278"/>
      <c r="N380" s="279"/>
      <c r="O380" s="278"/>
      <c r="P380" s="276"/>
      <c r="Q380" s="177">
        <v>0</v>
      </c>
      <c r="R380" s="278"/>
      <c r="S380" s="200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47"/>
        <v>BoutiqueInformatique</v>
      </c>
      <c r="B381" s="24" t="s">
        <v>183</v>
      </c>
      <c r="C381" s="267" t="s">
        <v>121</v>
      </c>
      <c r="D381" s="36"/>
      <c r="E381" s="25"/>
      <c r="F381" s="1178">
        <v>0</v>
      </c>
      <c r="G381" s="269"/>
      <c r="H381" s="25"/>
      <c r="I381" s="1178">
        <v>0</v>
      </c>
      <c r="J381" s="223"/>
      <c r="K381" s="25"/>
      <c r="L381" s="180">
        <v>0</v>
      </c>
      <c r="M381" s="223"/>
      <c r="N381" s="225"/>
      <c r="O381" s="223"/>
      <c r="P381" s="25"/>
      <c r="Q381" s="180">
        <v>0</v>
      </c>
      <c r="R381" s="223"/>
      <c r="S381" s="197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47"/>
        <v>BoutiqueFrais de déplacement</v>
      </c>
      <c r="B382" s="24" t="s">
        <v>183</v>
      </c>
      <c r="C382" s="267" t="s">
        <v>122</v>
      </c>
      <c r="D382" s="36"/>
      <c r="E382" s="25"/>
      <c r="F382" s="1178">
        <v>0</v>
      </c>
      <c r="G382" s="269"/>
      <c r="H382" s="25"/>
      <c r="I382" s="1178">
        <v>0</v>
      </c>
      <c r="J382" s="223"/>
      <c r="K382" s="25"/>
      <c r="L382" s="180">
        <v>0</v>
      </c>
      <c r="M382" s="223"/>
      <c r="N382" s="225"/>
      <c r="O382" s="223"/>
      <c r="P382" s="25"/>
      <c r="Q382" s="180">
        <v>0</v>
      </c>
      <c r="R382" s="223"/>
      <c r="S382" s="197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47"/>
        <v>BoutiqueServices extérieurs</v>
      </c>
      <c r="B383" s="24" t="s">
        <v>183</v>
      </c>
      <c r="C383" s="267" t="s">
        <v>123</v>
      </c>
      <c r="D383" s="275"/>
      <c r="E383" s="276"/>
      <c r="F383" s="177">
        <v>0</v>
      </c>
      <c r="G383" s="277"/>
      <c r="H383" s="276"/>
      <c r="I383" s="177">
        <v>0</v>
      </c>
      <c r="J383" s="278"/>
      <c r="K383" s="276"/>
      <c r="L383" s="177">
        <v>0</v>
      </c>
      <c r="M383" s="278"/>
      <c r="N383" s="279"/>
      <c r="O383" s="278"/>
      <c r="P383" s="276"/>
      <c r="Q383" s="177">
        <v>0</v>
      </c>
      <c r="R383" s="278"/>
      <c r="S383" s="200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47"/>
        <v>BoutiqueFournitures autres</v>
      </c>
      <c r="B384" s="24" t="s">
        <v>183</v>
      </c>
      <c r="C384" s="282" t="s">
        <v>124</v>
      </c>
      <c r="D384" s="36"/>
      <c r="E384" s="25"/>
      <c r="F384" s="1178">
        <v>0</v>
      </c>
      <c r="G384" s="269"/>
      <c r="H384" s="25"/>
      <c r="I384" s="1178">
        <v>0</v>
      </c>
      <c r="J384" s="223"/>
      <c r="K384" s="25"/>
      <c r="L384" s="180">
        <v>0</v>
      </c>
      <c r="M384" s="223"/>
      <c r="N384" s="225"/>
      <c r="O384" s="223"/>
      <c r="P384" s="25"/>
      <c r="Q384" s="180">
        <v>0</v>
      </c>
      <c r="R384" s="223"/>
      <c r="S384" s="197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47"/>
        <v>BoutiqueUniformes</v>
      </c>
      <c r="B385" s="24" t="s">
        <v>183</v>
      </c>
      <c r="C385" s="267" t="s">
        <v>125</v>
      </c>
      <c r="D385" s="36"/>
      <c r="E385" s="25"/>
      <c r="F385" s="1178">
        <v>0</v>
      </c>
      <c r="G385" s="269"/>
      <c r="H385" s="25"/>
      <c r="I385" s="1178">
        <v>0</v>
      </c>
      <c r="J385" s="223"/>
      <c r="K385" s="25"/>
      <c r="L385" s="180">
        <v>0</v>
      </c>
      <c r="M385" s="223"/>
      <c r="N385" s="225"/>
      <c r="O385" s="223"/>
      <c r="P385" s="25"/>
      <c r="Q385" s="180">
        <v>0</v>
      </c>
      <c r="R385" s="223"/>
      <c r="S385" s="197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47"/>
        <v>BoutiquePapeterie</v>
      </c>
      <c r="B386" s="24" t="s">
        <v>183</v>
      </c>
      <c r="C386" s="267" t="s">
        <v>126</v>
      </c>
      <c r="D386" s="36"/>
      <c r="E386" s="25"/>
      <c r="F386" s="1178">
        <v>0</v>
      </c>
      <c r="G386" s="269"/>
      <c r="H386" s="25"/>
      <c r="I386" s="1178">
        <v>0</v>
      </c>
      <c r="J386" s="223"/>
      <c r="K386" s="25"/>
      <c r="L386" s="180">
        <v>0</v>
      </c>
      <c r="M386" s="223"/>
      <c r="N386" s="225"/>
      <c r="O386" s="223"/>
      <c r="P386" s="25"/>
      <c r="Q386" s="180">
        <v>0</v>
      </c>
      <c r="R386" s="223"/>
      <c r="S386" s="197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47"/>
        <v>BoutiqueTéléphone</v>
      </c>
      <c r="B387" s="24" t="s">
        <v>183</v>
      </c>
      <c r="C387" s="267" t="s">
        <v>127</v>
      </c>
      <c r="D387" s="36"/>
      <c r="E387" s="25"/>
      <c r="F387" s="1178">
        <v>0</v>
      </c>
      <c r="G387" s="269"/>
      <c r="H387" s="25"/>
      <c r="I387" s="1178">
        <v>0</v>
      </c>
      <c r="J387" s="223"/>
      <c r="K387" s="25"/>
      <c r="L387" s="180">
        <v>0</v>
      </c>
      <c r="M387" s="223"/>
      <c r="N387" s="225"/>
      <c r="O387" s="223"/>
      <c r="P387" s="25"/>
      <c r="Q387" s="180">
        <v>0</v>
      </c>
      <c r="R387" s="223"/>
      <c r="S387" s="197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47"/>
        <v>BoutiqueFrais postaux</v>
      </c>
      <c r="B388" s="24" t="s">
        <v>183</v>
      </c>
      <c r="C388" s="267" t="s">
        <v>128</v>
      </c>
      <c r="D388" s="36"/>
      <c r="E388" s="25"/>
      <c r="F388" s="1178">
        <v>0</v>
      </c>
      <c r="G388" s="269"/>
      <c r="H388" s="25"/>
      <c r="I388" s="1178">
        <v>0</v>
      </c>
      <c r="J388" s="223"/>
      <c r="K388" s="25"/>
      <c r="L388" s="180">
        <v>0</v>
      </c>
      <c r="M388" s="223"/>
      <c r="N388" s="225"/>
      <c r="O388" s="223"/>
      <c r="P388" s="25"/>
      <c r="Q388" s="180">
        <v>0</v>
      </c>
      <c r="R388" s="223"/>
      <c r="S388" s="197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47"/>
        <v>BoutiqueDivers</v>
      </c>
      <c r="B389" s="24" t="s">
        <v>183</v>
      </c>
      <c r="C389" s="267" t="s">
        <v>129</v>
      </c>
      <c r="D389" s="36"/>
      <c r="E389" s="25"/>
      <c r="F389" s="1178">
        <v>0</v>
      </c>
      <c r="G389" s="269"/>
      <c r="H389" s="25"/>
      <c r="I389" s="1178">
        <v>0</v>
      </c>
      <c r="J389" s="223"/>
      <c r="K389" s="25"/>
      <c r="L389" s="180">
        <v>0</v>
      </c>
      <c r="M389" s="223"/>
      <c r="N389" s="225"/>
      <c r="O389" s="223"/>
      <c r="P389" s="25"/>
      <c r="Q389" s="180">
        <v>0</v>
      </c>
      <c r="R389" s="223"/>
      <c r="S389" s="197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47"/>
        <v>BoutiqueFormation</v>
      </c>
      <c r="B390" s="24" t="s">
        <v>183</v>
      </c>
      <c r="C390" s="267" t="s">
        <v>130</v>
      </c>
      <c r="D390" s="36"/>
      <c r="E390" s="25"/>
      <c r="F390" s="1178">
        <v>0</v>
      </c>
      <c r="G390" s="269"/>
      <c r="H390" s="25"/>
      <c r="I390" s="1178">
        <v>0</v>
      </c>
      <c r="J390" s="223"/>
      <c r="K390" s="25"/>
      <c r="L390" s="180">
        <v>0</v>
      </c>
      <c r="M390" s="223"/>
      <c r="N390" s="225"/>
      <c r="O390" s="223"/>
      <c r="P390" s="25"/>
      <c r="Q390" s="180">
        <v>0</v>
      </c>
      <c r="R390" s="223"/>
      <c r="S390" s="197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47"/>
        <v>BoutiqueFrais bancaires</v>
      </c>
      <c r="B391" s="24" t="s">
        <v>183</v>
      </c>
      <c r="C391" s="267" t="s">
        <v>131</v>
      </c>
      <c r="D391" s="36"/>
      <c r="E391" s="25"/>
      <c r="F391" s="1178">
        <v>0</v>
      </c>
      <c r="G391" s="269"/>
      <c r="H391" s="25"/>
      <c r="I391" s="1178">
        <v>0</v>
      </c>
      <c r="J391" s="223"/>
      <c r="K391" s="25"/>
      <c r="L391" s="180">
        <v>0</v>
      </c>
      <c r="M391" s="223"/>
      <c r="N391" s="225"/>
      <c r="O391" s="223"/>
      <c r="P391" s="25"/>
      <c r="Q391" s="180">
        <v>0</v>
      </c>
      <c r="R391" s="223"/>
      <c r="S391" s="197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47"/>
        <v>Boutique[...]</v>
      </c>
      <c r="B392" s="24" t="s">
        <v>183</v>
      </c>
      <c r="C392" s="267" t="s">
        <v>42</v>
      </c>
      <c r="D392" s="36"/>
      <c r="E392" s="25"/>
      <c r="F392" s="1178">
        <v>0</v>
      </c>
      <c r="G392" s="269"/>
      <c r="H392" s="25"/>
      <c r="I392" s="1178">
        <v>0</v>
      </c>
      <c r="J392" s="223"/>
      <c r="K392" s="25"/>
      <c r="L392" s="180">
        <v>0</v>
      </c>
      <c r="M392" s="223"/>
      <c r="N392" s="225"/>
      <c r="O392" s="223"/>
      <c r="P392" s="25"/>
      <c r="Q392" s="180">
        <v>0</v>
      </c>
      <c r="R392" s="223"/>
      <c r="S392" s="197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47"/>
        <v>Boutique[...]</v>
      </c>
      <c r="B393" s="24" t="s">
        <v>183</v>
      </c>
      <c r="C393" s="267" t="s">
        <v>42</v>
      </c>
      <c r="D393" s="36"/>
      <c r="E393" s="25"/>
      <c r="F393" s="1178">
        <v>0</v>
      </c>
      <c r="G393" s="269"/>
      <c r="H393" s="25"/>
      <c r="I393" s="1178">
        <v>0</v>
      </c>
      <c r="J393" s="223"/>
      <c r="K393" s="25"/>
      <c r="L393" s="180">
        <v>0</v>
      </c>
      <c r="M393" s="223"/>
      <c r="N393" s="225"/>
      <c r="O393" s="223"/>
      <c r="P393" s="25"/>
      <c r="Q393" s="180">
        <v>0</v>
      </c>
      <c r="R393" s="223"/>
      <c r="S393" s="197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47"/>
        <v>Boutique[...]</v>
      </c>
      <c r="B394" s="24" t="s">
        <v>183</v>
      </c>
      <c r="C394" s="267" t="s">
        <v>42</v>
      </c>
      <c r="D394" s="275"/>
      <c r="E394" s="276"/>
      <c r="F394" s="1178">
        <v>0</v>
      </c>
      <c r="G394" s="277"/>
      <c r="H394" s="276"/>
      <c r="I394" s="1178">
        <v>0</v>
      </c>
      <c r="J394" s="278"/>
      <c r="K394" s="276"/>
      <c r="L394" s="180">
        <v>0</v>
      </c>
      <c r="M394" s="278"/>
      <c r="N394" s="279"/>
      <c r="O394" s="278"/>
      <c r="P394" s="276"/>
      <c r="Q394" s="180">
        <v>0</v>
      </c>
      <c r="R394" s="278"/>
      <c r="S394" s="200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25"/>
      <c r="E396" s="25"/>
      <c r="F396" s="265"/>
      <c r="G396" s="223"/>
      <c r="H396" s="25"/>
      <c r="I396" s="265"/>
      <c r="J396" s="223"/>
      <c r="K396" s="25"/>
      <c r="L396" s="265"/>
      <c r="M396" s="232"/>
      <c r="N396" s="283"/>
      <c r="O396" s="223"/>
      <c r="P396" s="25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25"/>
      <c r="E398" s="25"/>
      <c r="F398" s="225"/>
      <c r="G398" s="223"/>
      <c r="H398" s="25"/>
      <c r="I398" s="225"/>
      <c r="J398" s="223"/>
      <c r="K398" s="25"/>
      <c r="L398" s="225"/>
      <c r="M398" s="232"/>
      <c r="N398" s="283"/>
      <c r="O398" s="223"/>
      <c r="P398" s="25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>
        <f>I362-I397</f>
        <v>0</v>
      </c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1231"/>
      <c r="W403" s="1232"/>
      <c r="X403" s="1232"/>
      <c r="Y403" s="1232"/>
      <c r="Z403" s="1232"/>
      <c r="AA403" s="1232"/>
      <c r="AB403" s="1232"/>
      <c r="AC403" s="1232"/>
      <c r="AD403" s="1232"/>
      <c r="AE403" s="1232"/>
      <c r="AF403" s="1232"/>
      <c r="AG403" s="1232"/>
      <c r="AH403" s="1232"/>
      <c r="AI403" s="1232"/>
      <c r="AJ403" s="1232"/>
      <c r="AK403" s="1232"/>
      <c r="AL403" s="23"/>
      <c r="AM403" s="23"/>
      <c r="AN403" s="23"/>
      <c r="AO403" s="23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89" t="s">
        <v>186</v>
      </c>
      <c r="Y404" s="1286"/>
      <c r="Z404" s="1290"/>
      <c r="AA404" s="1285" t="s">
        <v>2981</v>
      </c>
      <c r="AB404" s="1286"/>
      <c r="AC404" s="1290"/>
      <c r="AD404" s="1285" t="s">
        <v>78</v>
      </c>
      <c r="AE404" s="1286"/>
      <c r="AF404" s="1290"/>
      <c r="AG404" s="1285" t="s">
        <v>2442</v>
      </c>
      <c r="AH404" s="1286"/>
      <c r="AI404" s="1290"/>
      <c r="AJ404" s="1285" t="s">
        <v>2335</v>
      </c>
      <c r="AK404" s="1286"/>
      <c r="AL404" s="1286"/>
      <c r="AM404" s="1285" t="s">
        <v>187</v>
      </c>
      <c r="AN404" s="1286"/>
      <c r="AO404" s="1287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 t="s">
        <v>189</v>
      </c>
      <c r="AB405" s="343" t="s">
        <v>190</v>
      </c>
      <c r="AC405" s="385" t="s">
        <v>191</v>
      </c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12056969.309282551</v>
      </c>
      <c r="AA406" s="388"/>
      <c r="AB406" s="388"/>
      <c r="AC406" s="389">
        <f>I5+I93+H194+H250+G314+G362</f>
        <v>0</v>
      </c>
      <c r="AD406" s="390"/>
      <c r="AE406" s="391"/>
      <c r="AF406" s="391">
        <f>L5+L93+K194+K250+J314+J362</f>
        <v>9932882.2000000011</v>
      </c>
      <c r="AG406" s="390"/>
      <c r="AH406" s="391"/>
      <c r="AI406" s="392"/>
      <c r="AJ406" s="390"/>
      <c r="AK406" s="391"/>
      <c r="AL406" s="391">
        <f>Q5+Q93+P194+P250+O314+O362</f>
        <v>11618833.16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6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1233"/>
      <c r="X408" s="1233"/>
      <c r="Y408" s="1233"/>
      <c r="Z408" s="87"/>
      <c r="AA408" s="1233"/>
      <c r="AB408" s="1233"/>
      <c r="AC408" s="87"/>
      <c r="AD408" s="399"/>
      <c r="AE408" s="1233"/>
      <c r="AF408" s="1234"/>
      <c r="AG408" s="399"/>
      <c r="AH408" s="1234"/>
      <c r="AI408" s="1235"/>
      <c r="AJ408" s="399"/>
      <c r="AK408" s="1233"/>
      <c r="AL408" s="1234"/>
      <c r="AM408" s="402"/>
      <c r="AN408" s="1234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1236" t="s">
        <v>197</v>
      </c>
      <c r="X409" s="1233"/>
      <c r="Y409" s="1237">
        <f>Z409/(D$13+D$97)</f>
        <v>906.91423701369081</v>
      </c>
      <c r="Z409" s="87">
        <v>107922.7942046292</v>
      </c>
      <c r="AA409" s="1233"/>
      <c r="AB409" s="1237">
        <f>IF(AC409=0,0,AC409/(G$13+G$97))</f>
        <v>0</v>
      </c>
      <c r="AC409" s="87">
        <v>0</v>
      </c>
      <c r="AD409" s="405"/>
      <c r="AE409" s="1237">
        <f>IF(AF409=0,0,AF409/(J$13+J$97))</f>
        <v>862.86688888888898</v>
      </c>
      <c r="AF409" s="87">
        <v>77658.02</v>
      </c>
      <c r="AG409" s="399">
        <f t="shared" ref="AG409:AH424" si="50">AE409-Y409</f>
        <v>-44.047348124801829</v>
      </c>
      <c r="AH409" s="1234">
        <f t="shared" si="50"/>
        <v>-30264.774204629197</v>
      </c>
      <c r="AI409" s="1235">
        <f t="shared" ref="AI409:AI418" si="51">IF(Z409=0,0,AH409/Z409)</f>
        <v>-0.28042986125104452</v>
      </c>
      <c r="AJ409" s="405"/>
      <c r="AK409" s="1234">
        <f>AL409/(O$13+O$97)</f>
        <v>963.87762376237629</v>
      </c>
      <c r="AL409" s="87">
        <f>+SUMIF($C:$C,$V409,Q:Q)</f>
        <v>97351.64</v>
      </c>
      <c r="AM409" s="402">
        <f t="shared" ref="AM409:AM414" si="52">AE409-Y409</f>
        <v>-44.047348124801829</v>
      </c>
      <c r="AN409" s="1234">
        <f t="shared" ref="AN409:AN414" si="53">AF409-AL409</f>
        <v>-19693.619999999995</v>
      </c>
      <c r="AO409" s="212">
        <f t="shared" ref="AO409:AO431" si="54">IF(AL409=0,0,AN409/AL409)</f>
        <v>-0.20229366449296587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ref="Y410:Y415" si="55">Z410/(D$13+D$97)</f>
        <v>455.87605042016804</v>
      </c>
      <c r="Z410" s="389">
        <v>54249.25</v>
      </c>
      <c r="AA410" s="388"/>
      <c r="AB410" s="407">
        <f t="shared" ref="AB410:AB415" si="56">IF(AC410=0,0,AC410/(G$13+G$97))</f>
        <v>0</v>
      </c>
      <c r="AC410" s="389">
        <v>0</v>
      </c>
      <c r="AD410" s="408"/>
      <c r="AE410" s="407">
        <f t="shared" ref="AE410:AE415" si="57">IF(AF410=0,0,AF410/(J$13+J$97))</f>
        <v>500.38166666666672</v>
      </c>
      <c r="AF410" s="389">
        <v>45034.350000000006</v>
      </c>
      <c r="AG410" s="390">
        <f t="shared" si="50"/>
        <v>44.505616246498676</v>
      </c>
      <c r="AH410" s="391">
        <f t="shared" si="50"/>
        <v>-9214.8999999999942</v>
      </c>
      <c r="AI410" s="409">
        <f t="shared" si="51"/>
        <v>-0.1698622561602233</v>
      </c>
      <c r="AJ410" s="408"/>
      <c r="AK410" s="391">
        <f t="shared" ref="AK410:AK415" si="58">AL410/(O$13+O$97)</f>
        <v>510.190297029703</v>
      </c>
      <c r="AL410" s="389">
        <f t="shared" ref="AL410:AL415" si="59">+SUMIF($C:$C,$V410,Q:Q)</f>
        <v>51529.22</v>
      </c>
      <c r="AM410" s="393">
        <f t="shared" si="52"/>
        <v>44.505616246498676</v>
      </c>
      <c r="AN410" s="391">
        <f t="shared" si="53"/>
        <v>-6494.8699999999953</v>
      </c>
      <c r="AO410" s="213">
        <f t="shared" si="54"/>
        <v>-0.12604246677904293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1236" t="s">
        <v>199</v>
      </c>
      <c r="X411" s="1233"/>
      <c r="Y411" s="1237">
        <f t="shared" si="55"/>
        <v>117.56302521008404</v>
      </c>
      <c r="Z411" s="87">
        <v>13990</v>
      </c>
      <c r="AA411" s="1233"/>
      <c r="AB411" s="1237">
        <f t="shared" si="56"/>
        <v>0</v>
      </c>
      <c r="AC411" s="87">
        <v>0</v>
      </c>
      <c r="AD411" s="405"/>
      <c r="AE411" s="1237">
        <f t="shared" si="57"/>
        <v>171.3761111111111</v>
      </c>
      <c r="AF411" s="87">
        <v>15423.849999999999</v>
      </c>
      <c r="AG411" s="399">
        <f t="shared" si="50"/>
        <v>53.813085901027065</v>
      </c>
      <c r="AH411" s="1234">
        <f t="shared" si="50"/>
        <v>1433.8499999999985</v>
      </c>
      <c r="AI411" s="1235">
        <f t="shared" si="51"/>
        <v>0.10249106504646166</v>
      </c>
      <c r="AJ411" s="405"/>
      <c r="AK411" s="1234">
        <f t="shared" si="58"/>
        <v>154.9540594059406</v>
      </c>
      <c r="AL411" s="87">
        <f t="shared" si="59"/>
        <v>15650.36</v>
      </c>
      <c r="AM411" s="402">
        <f t="shared" si="52"/>
        <v>53.813085901027065</v>
      </c>
      <c r="AN411" s="1234">
        <f t="shared" si="53"/>
        <v>-226.51000000000204</v>
      </c>
      <c r="AO411" s="212">
        <f t="shared" si="54"/>
        <v>-1.4473149499436564E-2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1236" t="s">
        <v>200</v>
      </c>
      <c r="X412" s="1233"/>
      <c r="Y412" s="1237">
        <f t="shared" si="55"/>
        <v>69.663865546218489</v>
      </c>
      <c r="Z412" s="87">
        <v>8290</v>
      </c>
      <c r="AA412" s="1233"/>
      <c r="AB412" s="1237">
        <f t="shared" si="56"/>
        <v>0</v>
      </c>
      <c r="AC412" s="87">
        <v>0</v>
      </c>
      <c r="AD412" s="405"/>
      <c r="AE412" s="1237">
        <f t="shared" si="57"/>
        <v>41.089999999999996</v>
      </c>
      <c r="AF412" s="87">
        <v>3698.1</v>
      </c>
      <c r="AG412" s="399">
        <f t="shared" si="50"/>
        <v>-28.573865546218492</v>
      </c>
      <c r="AH412" s="1234">
        <f t="shared" si="50"/>
        <v>-4591.8999999999996</v>
      </c>
      <c r="AI412" s="1235">
        <f t="shared" si="51"/>
        <v>-0.55390832328106143</v>
      </c>
      <c r="AJ412" s="405"/>
      <c r="AK412" s="1234">
        <f t="shared" si="58"/>
        <v>82.272079207920783</v>
      </c>
      <c r="AL412" s="87">
        <f t="shared" si="59"/>
        <v>8309.48</v>
      </c>
      <c r="AM412" s="402">
        <f t="shared" si="52"/>
        <v>-28.573865546218492</v>
      </c>
      <c r="AN412" s="1234">
        <f t="shared" si="53"/>
        <v>-4611.3799999999992</v>
      </c>
      <c r="AO412" s="214">
        <f t="shared" si="54"/>
        <v>-0.55495410061760775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55"/>
        <v>81.512605042016801</v>
      </c>
      <c r="Z413" s="389">
        <v>9700</v>
      </c>
      <c r="AA413" s="388"/>
      <c r="AB413" s="407">
        <f t="shared" si="56"/>
        <v>0</v>
      </c>
      <c r="AC413" s="389">
        <v>0</v>
      </c>
      <c r="AD413" s="408"/>
      <c r="AE413" s="407">
        <f t="shared" si="57"/>
        <v>202.97955555555555</v>
      </c>
      <c r="AF413" s="389">
        <v>18268.16</v>
      </c>
      <c r="AG413" s="390">
        <f t="shared" si="50"/>
        <v>121.46695051353875</v>
      </c>
      <c r="AH413" s="391">
        <f t="shared" si="50"/>
        <v>8568.16</v>
      </c>
      <c r="AI413" s="409">
        <f t="shared" si="51"/>
        <v>0.8833154639175258</v>
      </c>
      <c r="AJ413" s="408"/>
      <c r="AK413" s="391">
        <f t="shared" si="58"/>
        <v>94.81198019801981</v>
      </c>
      <c r="AL413" s="389">
        <f t="shared" si="59"/>
        <v>9576.01</v>
      </c>
      <c r="AM413" s="393">
        <f t="shared" si="52"/>
        <v>121.46695051353875</v>
      </c>
      <c r="AN413" s="391">
        <f t="shared" si="53"/>
        <v>8692.15</v>
      </c>
      <c r="AO413" s="213">
        <f t="shared" si="54"/>
        <v>0.90770059763930899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1236" t="s">
        <v>201</v>
      </c>
      <c r="X414" s="1235"/>
      <c r="Y414" s="1237">
        <f t="shared" si="55"/>
        <v>440.91695501730106</v>
      </c>
      <c r="Z414" s="87">
        <v>52469.117647058825</v>
      </c>
      <c r="AA414" s="1235"/>
      <c r="AB414" s="1237">
        <f t="shared" si="56"/>
        <v>0</v>
      </c>
      <c r="AC414" s="87">
        <v>0</v>
      </c>
      <c r="AD414" s="405"/>
      <c r="AE414" s="1237">
        <f t="shared" si="57"/>
        <v>533.86844444444444</v>
      </c>
      <c r="AF414" s="87">
        <v>48048.160000000003</v>
      </c>
      <c r="AG414" s="399">
        <f t="shared" si="50"/>
        <v>92.951489427143372</v>
      </c>
      <c r="AH414" s="1234">
        <f t="shared" si="50"/>
        <v>-4420.9576470588217</v>
      </c>
      <c r="AI414" s="1235">
        <f t="shared" si="51"/>
        <v>-8.4258280781411996E-2</v>
      </c>
      <c r="AJ414" s="405"/>
      <c r="AK414" s="1234">
        <f t="shared" si="58"/>
        <v>615.40930693069299</v>
      </c>
      <c r="AL414" s="87">
        <f t="shared" si="59"/>
        <v>62156.339999999989</v>
      </c>
      <c r="AM414" s="402">
        <f t="shared" si="52"/>
        <v>92.951489427143372</v>
      </c>
      <c r="AN414" s="1234">
        <f t="shared" si="53"/>
        <v>-14108.179999999986</v>
      </c>
      <c r="AO414" s="212">
        <f t="shared" si="54"/>
        <v>-0.22697893730551039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1236" t="s">
        <v>202</v>
      </c>
      <c r="X415" s="1233"/>
      <c r="Y415" s="1237">
        <f t="shared" si="55"/>
        <v>798.85500642085935</v>
      </c>
      <c r="Z415" s="87">
        <v>95063.745764082269</v>
      </c>
      <c r="AA415" s="1233"/>
      <c r="AB415" s="1237">
        <f t="shared" si="56"/>
        <v>0</v>
      </c>
      <c r="AC415" s="87">
        <v>0</v>
      </c>
      <c r="AD415" s="405"/>
      <c r="AE415" s="1237">
        <f t="shared" si="57"/>
        <v>855.48066666666682</v>
      </c>
      <c r="AF415" s="87">
        <v>76993.260000000009</v>
      </c>
      <c r="AG415" s="399">
        <f t="shared" si="50"/>
        <v>56.625660245807467</v>
      </c>
      <c r="AH415" s="1234">
        <f t="shared" si="50"/>
        <v>-18070.485764082259</v>
      </c>
      <c r="AI415" s="1235">
        <f t="shared" si="51"/>
        <v>-0.19008808898533633</v>
      </c>
      <c r="AJ415" s="405"/>
      <c r="AK415" s="1234">
        <f t="shared" si="58"/>
        <v>1054.0991089108909</v>
      </c>
      <c r="AL415" s="87">
        <f t="shared" si="59"/>
        <v>106464.00999999998</v>
      </c>
      <c r="AM415" s="402">
        <f>AE415-Y415</f>
        <v>56.625660245807467</v>
      </c>
      <c r="AN415" s="1234">
        <f>AF415-AL415</f>
        <v>-29470.749999999971</v>
      </c>
      <c r="AO415" s="212">
        <f t="shared" si="54"/>
        <v>-0.27681420228300602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1236"/>
      <c r="X416" s="1235"/>
      <c r="Y416" s="1237">
        <f>Z416/(D$13+D$97)</f>
        <v>0</v>
      </c>
      <c r="Z416" s="87">
        <v>0</v>
      </c>
      <c r="AA416" s="1233"/>
      <c r="AB416" s="1237">
        <f>IF(AC416=0,0,AC416/(G$13+G$97))</f>
        <v>0</v>
      </c>
      <c r="AC416" s="87">
        <v>0</v>
      </c>
      <c r="AD416" s="405"/>
      <c r="AE416" s="1237">
        <f>IF(AF416=0,0,AF416/(J$13+J$97))</f>
        <v>0</v>
      </c>
      <c r="AF416" s="87">
        <v>0</v>
      </c>
      <c r="AG416" s="399">
        <f t="shared" si="50"/>
        <v>0</v>
      </c>
      <c r="AH416" s="1234">
        <f t="shared" si="50"/>
        <v>0</v>
      </c>
      <c r="AI416" s="1235">
        <f t="shared" si="51"/>
        <v>0</v>
      </c>
      <c r="AJ416" s="405"/>
      <c r="AK416" s="1234">
        <f>AL416/(O$13+O$97)</f>
        <v>0</v>
      </c>
      <c r="AL416" s="87"/>
      <c r="AM416" s="402">
        <f>AE416-Y416</f>
        <v>0</v>
      </c>
      <c r="AN416" s="1234">
        <f>AF416-AL416</f>
        <v>0</v>
      </c>
      <c r="AO416" s="212">
        <f t="shared" si="54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1236"/>
      <c r="X417" s="1235"/>
      <c r="Y417" s="1237">
        <f>Z417/(D$13+D$97)</f>
        <v>0</v>
      </c>
      <c r="Z417" s="87">
        <v>0</v>
      </c>
      <c r="AA417" s="1233"/>
      <c r="AB417" s="1237">
        <f>IF(AC417=0,0,AC417/(G$13+G$97))</f>
        <v>0</v>
      </c>
      <c r="AC417" s="87">
        <v>0</v>
      </c>
      <c r="AD417" s="405"/>
      <c r="AE417" s="1237">
        <f>IF(AF417=0,0,AF417/(J$13+J$97))</f>
        <v>0</v>
      </c>
      <c r="AF417" s="87">
        <v>0</v>
      </c>
      <c r="AG417" s="399">
        <f t="shared" si="50"/>
        <v>0</v>
      </c>
      <c r="AH417" s="1234">
        <f t="shared" si="50"/>
        <v>0</v>
      </c>
      <c r="AI417" s="1235">
        <f t="shared" si="51"/>
        <v>0</v>
      </c>
      <c r="AJ417" s="405"/>
      <c r="AK417" s="1234">
        <f>AL417/(O$13+O$97)</f>
        <v>0</v>
      </c>
      <c r="AL417" s="87"/>
      <c r="AM417" s="402">
        <f>AE417-Y417</f>
        <v>0</v>
      </c>
      <c r="AN417" s="1234">
        <f>AF417-AL417</f>
        <v>0</v>
      </c>
      <c r="AO417" s="212">
        <f t="shared" si="54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1236"/>
      <c r="X418" s="1233"/>
      <c r="Y418" s="1237">
        <f>Z418/(D$13+D$97)</f>
        <v>0</v>
      </c>
      <c r="Z418" s="87">
        <v>0</v>
      </c>
      <c r="AA418" s="1233"/>
      <c r="AB418" s="1237">
        <f>IF(AC418=0,0,AC418/(G$13+G$97))</f>
        <v>0</v>
      </c>
      <c r="AC418" s="87">
        <v>0</v>
      </c>
      <c r="AD418" s="405"/>
      <c r="AE418" s="1237">
        <f>IF(AF418=0,0,AF418/(J$13+J$97))</f>
        <v>0</v>
      </c>
      <c r="AF418" s="87">
        <v>0</v>
      </c>
      <c r="AG418" s="399">
        <f t="shared" si="50"/>
        <v>0</v>
      </c>
      <c r="AH418" s="1234">
        <f t="shared" si="50"/>
        <v>0</v>
      </c>
      <c r="AI418" s="1235">
        <f t="shared" si="51"/>
        <v>0</v>
      </c>
      <c r="AJ418" s="405"/>
      <c r="AK418" s="1234">
        <f>AL418/(O$13+O$97)</f>
        <v>0</v>
      </c>
      <c r="AL418" s="87"/>
      <c r="AM418" s="402">
        <f>AE418-Y418</f>
        <v>0</v>
      </c>
      <c r="AN418" s="1234">
        <f>AF418-AL418</f>
        <v>0</v>
      </c>
      <c r="AO418" s="212">
        <f t="shared" si="54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6">
        <f t="shared" si="54"/>
        <v>-0.18776695543199892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1236" t="s">
        <v>204</v>
      </c>
      <c r="X420" s="1233"/>
      <c r="Y420" s="1233"/>
      <c r="Z420" s="87">
        <v>42833.376304155616</v>
      </c>
      <c r="AA420" s="1233"/>
      <c r="AB420" s="1233">
        <f t="shared" ref="AB420:AB430" si="61">IF(AC420=0,0,AC420/(G$13+G$97))</f>
        <v>0</v>
      </c>
      <c r="AC420" s="87">
        <v>0</v>
      </c>
      <c r="AD420" s="405"/>
      <c r="AE420" s="1237"/>
      <c r="AF420" s="87">
        <v>40989.910000000003</v>
      </c>
      <c r="AG420" s="399"/>
      <c r="AH420" s="1234">
        <f t="shared" si="50"/>
        <v>-1843.4663041556123</v>
      </c>
      <c r="AI420" s="1235">
        <f t="shared" ref="AI420:AI432" si="62">IF(Z420=0,0,AH420/Z420)</f>
        <v>-4.3038080656199934E-2</v>
      </c>
      <c r="AJ420" s="405"/>
      <c r="AK420" s="1233"/>
      <c r="AL420" s="87">
        <v>39782.699999999997</v>
      </c>
      <c r="AM420" s="402"/>
      <c r="AN420" s="1234">
        <f t="shared" si="60"/>
        <v>1207.2100000000064</v>
      </c>
      <c r="AO420" s="212">
        <f t="shared" si="54"/>
        <v>3.0345099754416027E-2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1236" t="s">
        <v>205</v>
      </c>
      <c r="X421" s="1233"/>
      <c r="Y421" s="1233"/>
      <c r="Z421" s="87">
        <v>96874.360300618922</v>
      </c>
      <c r="AA421" s="1233"/>
      <c r="AB421" s="1233">
        <f t="shared" si="61"/>
        <v>0</v>
      </c>
      <c r="AC421" s="87">
        <v>0</v>
      </c>
      <c r="AD421" s="405"/>
      <c r="AE421" s="1237"/>
      <c r="AF421" s="87">
        <v>92498.12</v>
      </c>
      <c r="AG421" s="399"/>
      <c r="AH421" s="1234">
        <f t="shared" si="50"/>
        <v>-4376.240300618927</v>
      </c>
      <c r="AI421" s="1235">
        <f t="shared" si="62"/>
        <v>-4.5174391727993354E-2</v>
      </c>
      <c r="AJ421" s="405"/>
      <c r="AK421" s="1233"/>
      <c r="AL421" s="87">
        <f t="shared" ref="AL421:AL430" si="63">+SUMIF($C:$C,$V421,Q:Q)</f>
        <v>81236.010000000009</v>
      </c>
      <c r="AM421" s="402"/>
      <c r="AN421" s="1234">
        <f t="shared" si="60"/>
        <v>11262.109999999986</v>
      </c>
      <c r="AO421" s="212">
        <f t="shared" si="54"/>
        <v>0.13863445533575547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v>63113.652298850582</v>
      </c>
      <c r="AA422" s="388"/>
      <c r="AB422" s="388">
        <f t="shared" si="61"/>
        <v>0</v>
      </c>
      <c r="AC422" s="389">
        <v>0</v>
      </c>
      <c r="AD422" s="408"/>
      <c r="AE422" s="407"/>
      <c r="AF422" s="389">
        <v>59068.91</v>
      </c>
      <c r="AG422" s="390"/>
      <c r="AH422" s="391">
        <f t="shared" si="50"/>
        <v>-4044.7422988505787</v>
      </c>
      <c r="AI422" s="409">
        <f t="shared" si="62"/>
        <v>-6.4086646098347272E-2</v>
      </c>
      <c r="AJ422" s="408"/>
      <c r="AK422" s="388"/>
      <c r="AL422" s="389">
        <f t="shared" si="63"/>
        <v>57113.069999999992</v>
      </c>
      <c r="AM422" s="393"/>
      <c r="AN422" s="391">
        <f t="shared" si="60"/>
        <v>1955.8400000000111</v>
      </c>
      <c r="AO422" s="394">
        <f t="shared" si="54"/>
        <v>3.424505108900662E-2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1236" t="s">
        <v>207</v>
      </c>
      <c r="X423" s="1233"/>
      <c r="Y423" s="1233"/>
      <c r="Z423" s="87">
        <v>65786.480689655175</v>
      </c>
      <c r="AA423" s="1233"/>
      <c r="AB423" s="1233">
        <f t="shared" si="61"/>
        <v>0</v>
      </c>
      <c r="AC423" s="87">
        <v>0</v>
      </c>
      <c r="AD423" s="405"/>
      <c r="AE423" s="1237"/>
      <c r="AF423" s="87">
        <v>64775.619999999995</v>
      </c>
      <c r="AG423" s="399"/>
      <c r="AH423" s="1234">
        <f t="shared" si="50"/>
        <v>-1010.8606896551792</v>
      </c>
      <c r="AI423" s="1235">
        <f t="shared" si="62"/>
        <v>-1.5365781526205512E-2</v>
      </c>
      <c r="AJ423" s="405"/>
      <c r="AK423" s="1233"/>
      <c r="AL423" s="87">
        <f t="shared" si="63"/>
        <v>55922.76</v>
      </c>
      <c r="AM423" s="402"/>
      <c r="AN423" s="1234">
        <f t="shared" si="60"/>
        <v>8852.8599999999933</v>
      </c>
      <c r="AO423" s="212">
        <f t="shared" si="54"/>
        <v>0.15830513372372881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1236" t="s">
        <v>208</v>
      </c>
      <c r="X424" s="1233"/>
      <c r="Y424" s="1233"/>
      <c r="Z424" s="87">
        <v>43254.929666666663</v>
      </c>
      <c r="AA424" s="1233"/>
      <c r="AB424" s="1233">
        <f t="shared" si="61"/>
        <v>0</v>
      </c>
      <c r="AC424" s="87">
        <v>0</v>
      </c>
      <c r="AD424" s="405"/>
      <c r="AE424" s="1237"/>
      <c r="AF424" s="87">
        <v>42786.59</v>
      </c>
      <c r="AG424" s="399"/>
      <c r="AH424" s="1234">
        <f t="shared" si="50"/>
        <v>-468.33966666666674</v>
      </c>
      <c r="AI424" s="1235">
        <f t="shared" si="62"/>
        <v>-1.0827428694851886E-2</v>
      </c>
      <c r="AJ424" s="405"/>
      <c r="AK424" s="1233"/>
      <c r="AL424" s="87">
        <f t="shared" si="63"/>
        <v>33095.020000000004</v>
      </c>
      <c r="AM424" s="402"/>
      <c r="AN424" s="1234">
        <f t="shared" si="60"/>
        <v>9691.5699999999924</v>
      </c>
      <c r="AO424" s="212">
        <f t="shared" si="54"/>
        <v>0.29284073555477502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1236"/>
      <c r="X425" s="1233"/>
      <c r="Y425" s="1233"/>
      <c r="Z425" s="1234">
        <v>0</v>
      </c>
      <c r="AA425" s="1233"/>
      <c r="AB425" s="1233">
        <f t="shared" si="61"/>
        <v>0</v>
      </c>
      <c r="AC425" s="1234">
        <v>0</v>
      </c>
      <c r="AD425" s="405"/>
      <c r="AE425" s="1237"/>
      <c r="AF425" s="87">
        <v>0</v>
      </c>
      <c r="AG425" s="399"/>
      <c r="AH425" s="1234">
        <f t="shared" ref="AH425:AH451" si="64">AF425-Z425</f>
        <v>0</v>
      </c>
      <c r="AI425" s="1235">
        <f t="shared" si="62"/>
        <v>0</v>
      </c>
      <c r="AJ425" s="405"/>
      <c r="AK425" s="1233"/>
      <c r="AL425" s="87"/>
      <c r="AM425" s="402"/>
      <c r="AN425" s="1234">
        <f t="shared" si="60"/>
        <v>0</v>
      </c>
      <c r="AO425" s="212">
        <f t="shared" si="54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1236"/>
      <c r="X426" s="1233"/>
      <c r="Y426" s="1233"/>
      <c r="Z426" s="1234">
        <v>0</v>
      </c>
      <c r="AA426" s="1233"/>
      <c r="AB426" s="1233">
        <f t="shared" si="61"/>
        <v>0</v>
      </c>
      <c r="AC426" s="1234">
        <v>0</v>
      </c>
      <c r="AD426" s="405"/>
      <c r="AE426" s="1237"/>
      <c r="AF426" s="87">
        <v>0</v>
      </c>
      <c r="AG426" s="399"/>
      <c r="AH426" s="1234">
        <f t="shared" si="64"/>
        <v>0</v>
      </c>
      <c r="AI426" s="1235">
        <f t="shared" si="62"/>
        <v>0</v>
      </c>
      <c r="AJ426" s="405"/>
      <c r="AK426" s="1233"/>
      <c r="AL426" s="87"/>
      <c r="AM426" s="402"/>
      <c r="AN426" s="1234">
        <f t="shared" si="60"/>
        <v>0</v>
      </c>
      <c r="AO426" s="212">
        <f t="shared" si="54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1236"/>
      <c r="X427" s="1233"/>
      <c r="Y427" s="1233"/>
      <c r="Z427" s="1234">
        <v>0</v>
      </c>
      <c r="AA427" s="1233"/>
      <c r="AB427" s="1233">
        <f t="shared" si="61"/>
        <v>0</v>
      </c>
      <c r="AC427" s="1234">
        <v>0</v>
      </c>
      <c r="AD427" s="405"/>
      <c r="AE427" s="1237"/>
      <c r="AF427" s="87">
        <v>0</v>
      </c>
      <c r="AG427" s="399"/>
      <c r="AH427" s="1234">
        <f t="shared" si="64"/>
        <v>0</v>
      </c>
      <c r="AI427" s="1235">
        <f t="shared" si="62"/>
        <v>0</v>
      </c>
      <c r="AJ427" s="405"/>
      <c r="AK427" s="1233"/>
      <c r="AL427" s="87"/>
      <c r="AM427" s="402"/>
      <c r="AN427" s="1234">
        <f t="shared" si="60"/>
        <v>0</v>
      </c>
      <c r="AO427" s="212">
        <f t="shared" si="54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v>67608.836307698628</v>
      </c>
      <c r="AA428" s="388"/>
      <c r="AB428" s="388">
        <f t="shared" si="61"/>
        <v>0</v>
      </c>
      <c r="AC428" s="389">
        <v>0</v>
      </c>
      <c r="AD428" s="408"/>
      <c r="AE428" s="407"/>
      <c r="AF428" s="389">
        <v>76964.08</v>
      </c>
      <c r="AG428" s="390"/>
      <c r="AH428" s="391">
        <f t="shared" si="64"/>
        <v>9355.2436923013738</v>
      </c>
      <c r="AI428" s="409">
        <f t="shared" si="62"/>
        <v>0.13837309149538032</v>
      </c>
      <c r="AJ428" s="408"/>
      <c r="AK428" s="388"/>
      <c r="AL428" s="389">
        <f t="shared" si="63"/>
        <v>56049.250000000007</v>
      </c>
      <c r="AM428" s="393"/>
      <c r="AN428" s="391">
        <f t="shared" si="60"/>
        <v>20914.829999999994</v>
      </c>
      <c r="AO428" s="213">
        <f t="shared" si="54"/>
        <v>0.37315093422302692</v>
      </c>
      <c r="AP428" s="712"/>
      <c r="AQ428" s="1103"/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1236" t="s">
        <v>210</v>
      </c>
      <c r="X429" s="1233"/>
      <c r="Y429" s="1233"/>
      <c r="Z429" s="87">
        <v>81091.220627378047</v>
      </c>
      <c r="AA429" s="1233"/>
      <c r="AB429" s="1233">
        <f t="shared" si="61"/>
        <v>0</v>
      </c>
      <c r="AC429" s="87">
        <v>0</v>
      </c>
      <c r="AD429" s="405"/>
      <c r="AE429" s="1237"/>
      <c r="AF429" s="87">
        <v>83524.349999999991</v>
      </c>
      <c r="AG429" s="399"/>
      <c r="AH429" s="1234">
        <f t="shared" si="64"/>
        <v>2433.1293726219446</v>
      </c>
      <c r="AI429" s="1235">
        <f t="shared" si="62"/>
        <v>3.0004843357857542E-2</v>
      </c>
      <c r="AJ429" s="405"/>
      <c r="AK429" s="1233"/>
      <c r="AL429" s="87">
        <f t="shared" si="63"/>
        <v>66453.83</v>
      </c>
      <c r="AM429" s="402"/>
      <c r="AN429" s="1234">
        <f t="shared" si="60"/>
        <v>17070.51999999999</v>
      </c>
      <c r="AO429" s="212">
        <f t="shared" si="54"/>
        <v>0.25687789552535933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1236" t="s">
        <v>211</v>
      </c>
      <c r="X430" s="1233"/>
      <c r="Y430" s="1233"/>
      <c r="Z430" s="87">
        <v>43711.09875332033</v>
      </c>
      <c r="AA430" s="1233"/>
      <c r="AB430" s="1233">
        <f t="shared" si="61"/>
        <v>0</v>
      </c>
      <c r="AC430" s="87">
        <v>0</v>
      </c>
      <c r="AD430" s="405"/>
      <c r="AE430" s="1237"/>
      <c r="AF430" s="87">
        <v>48151.679999999993</v>
      </c>
      <c r="AG430" s="399"/>
      <c r="AH430" s="1234">
        <f t="shared" si="64"/>
        <v>4440.5812466796633</v>
      </c>
      <c r="AI430" s="1235">
        <f t="shared" si="62"/>
        <v>0.10158933024629936</v>
      </c>
      <c r="AJ430" s="405"/>
      <c r="AK430" s="1233"/>
      <c r="AL430" s="87">
        <f t="shared" si="63"/>
        <v>38198.979999999996</v>
      </c>
      <c r="AM430" s="402"/>
      <c r="AN430" s="1234">
        <f t="shared" si="60"/>
        <v>9952.6999999999971</v>
      </c>
      <c r="AO430" s="212">
        <f t="shared" si="54"/>
        <v>0.2605488418800711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1236"/>
      <c r="X431" s="1233"/>
      <c r="Y431" s="1233"/>
      <c r="Z431" s="87">
        <v>9366.6640185686429</v>
      </c>
      <c r="AA431" s="1233"/>
      <c r="AB431" s="1233">
        <f>IF(AC431=0,0,AC431/(G$13+G$97))</f>
        <v>0</v>
      </c>
      <c r="AC431" s="87">
        <v>0</v>
      </c>
      <c r="AD431" s="405"/>
      <c r="AE431" s="1237"/>
      <c r="AF431" s="87">
        <v>13161.42</v>
      </c>
      <c r="AG431" s="399"/>
      <c r="AH431" s="1234">
        <f t="shared" si="64"/>
        <v>3794.7559814313572</v>
      </c>
      <c r="AI431" s="97">
        <f t="shared" si="62"/>
        <v>0.40513420508182685</v>
      </c>
      <c r="AJ431" s="405"/>
      <c r="AK431" s="1233"/>
      <c r="AL431" s="87">
        <f>+SUMIF($C:$C,$V431,Q:Q)</f>
        <v>4034.48</v>
      </c>
      <c r="AM431" s="402"/>
      <c r="AN431" s="1234">
        <f t="shared" si="60"/>
        <v>9126.94</v>
      </c>
      <c r="AO431" s="213">
        <f t="shared" si="54"/>
        <v>2.2622345382800262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1236"/>
      <c r="X432" s="1233"/>
      <c r="Y432" s="1237"/>
      <c r="Z432" s="1234">
        <v>0</v>
      </c>
      <c r="AA432" s="1233"/>
      <c r="AB432" s="1233">
        <f>IF(AC432=0,0,AC432/(G$13+G$97))</f>
        <v>0</v>
      </c>
      <c r="AC432" s="1234">
        <v>0</v>
      </c>
      <c r="AD432" s="405"/>
      <c r="AE432" s="1237"/>
      <c r="AF432" s="87">
        <v>0</v>
      </c>
      <c r="AG432" s="399"/>
      <c r="AH432" s="1234">
        <f t="shared" si="64"/>
        <v>0</v>
      </c>
      <c r="AI432" s="1235">
        <f t="shared" si="62"/>
        <v>0</v>
      </c>
      <c r="AJ432" s="405"/>
      <c r="AK432" s="1233">
        <f>AL432/(O$13+O$97)</f>
        <v>0</v>
      </c>
      <c r="AL432" s="87"/>
      <c r="AM432" s="402"/>
      <c r="AN432" s="1234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6">
        <f>IF(AL433=0,0,AN433/AL433)</f>
        <v>0.20846834385269639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v>21640.144869569231</v>
      </c>
      <c r="AA434" s="412"/>
      <c r="AB434" s="412">
        <f t="shared" ref="AB434:AB451" si="66">IF(AC434=0,0,AC434/(G$13+G$97))</f>
        <v>0</v>
      </c>
      <c r="AC434" s="238">
        <v>0</v>
      </c>
      <c r="AD434" s="413"/>
      <c r="AE434" s="414"/>
      <c r="AF434" s="238">
        <v>20517.650000000001</v>
      </c>
      <c r="AG434" s="413"/>
      <c r="AH434" s="415">
        <f t="shared" si="64"/>
        <v>-1122.4948695692292</v>
      </c>
      <c r="AI434" s="416">
        <f t="shared" ref="AI434:AI451" si="67">IF(Z434=0,0,AH434/Z434)</f>
        <v>-5.1870949863542834E-2</v>
      </c>
      <c r="AJ434" s="413"/>
      <c r="AK434" s="412"/>
      <c r="AL434" s="238">
        <f t="shared" ref="AL434:AL449" si="68">+SUMIF($C:$C,$V434,Q:Q)</f>
        <v>24311.97</v>
      </c>
      <c r="AM434" s="417"/>
      <c r="AN434" s="415">
        <f t="shared" si="65"/>
        <v>-3794.3199999999997</v>
      </c>
      <c r="AO434" s="211">
        <f t="shared" ref="AO434:AO447" si="69">IF(AL434=0,0,AN434/AL434)</f>
        <v>-0.15606797803715616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1236" t="s">
        <v>212</v>
      </c>
      <c r="X435" s="1233"/>
      <c r="Y435" s="1233"/>
      <c r="Z435" s="87">
        <v>10000</v>
      </c>
      <c r="AA435" s="1233"/>
      <c r="AB435" s="1233">
        <f t="shared" si="66"/>
        <v>0</v>
      </c>
      <c r="AC435" s="87">
        <v>0</v>
      </c>
      <c r="AD435" s="405"/>
      <c r="AE435" s="1237"/>
      <c r="AF435" s="87">
        <v>11038.95</v>
      </c>
      <c r="AG435" s="399"/>
      <c r="AH435" s="1234">
        <f t="shared" si="64"/>
        <v>1038.9500000000007</v>
      </c>
      <c r="AI435" s="1235">
        <f t="shared" si="67"/>
        <v>0.10389500000000007</v>
      </c>
      <c r="AJ435" s="405"/>
      <c r="AK435" s="1233"/>
      <c r="AL435" s="87">
        <f t="shared" si="68"/>
        <v>10289.84</v>
      </c>
      <c r="AM435" s="402"/>
      <c r="AN435" s="1234">
        <f t="shared" si="65"/>
        <v>749.11000000000058</v>
      </c>
      <c r="AO435" s="212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v>55434</v>
      </c>
      <c r="AA436" s="388"/>
      <c r="AB436" s="388">
        <f t="shared" si="66"/>
        <v>0</v>
      </c>
      <c r="AC436" s="389">
        <v>0</v>
      </c>
      <c r="AD436" s="408"/>
      <c r="AE436" s="407"/>
      <c r="AF436" s="389">
        <v>62258.810000000005</v>
      </c>
      <c r="AG436" s="390"/>
      <c r="AH436" s="391">
        <f t="shared" si="64"/>
        <v>6824.8100000000049</v>
      </c>
      <c r="AI436" s="409">
        <f t="shared" si="67"/>
        <v>0.12311595771548156</v>
      </c>
      <c r="AJ436" s="408"/>
      <c r="AK436" s="388"/>
      <c r="AL436" s="389">
        <f t="shared" si="68"/>
        <v>58823.32</v>
      </c>
      <c r="AM436" s="393"/>
      <c r="AN436" s="391">
        <f t="shared" si="65"/>
        <v>3435.4900000000052</v>
      </c>
      <c r="AO436" s="394">
        <f t="shared" si="69"/>
        <v>5.8403537916595069E-2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1236" t="s">
        <v>214</v>
      </c>
      <c r="X437" s="1233"/>
      <c r="Y437" s="1233"/>
      <c r="Z437" s="87">
        <v>42492</v>
      </c>
      <c r="AA437" s="1233"/>
      <c r="AB437" s="1233">
        <f t="shared" si="66"/>
        <v>0</v>
      </c>
      <c r="AC437" s="87">
        <v>0</v>
      </c>
      <c r="AD437" s="405"/>
      <c r="AE437" s="1237"/>
      <c r="AF437" s="87">
        <v>42562.31</v>
      </c>
      <c r="AG437" s="399"/>
      <c r="AH437" s="1234">
        <f>AF437-Z437</f>
        <v>70.309999999997672</v>
      </c>
      <c r="AI437" s="1235">
        <f t="shared" si="67"/>
        <v>1.6546644074178121E-3</v>
      </c>
      <c r="AJ437" s="405"/>
      <c r="AK437" s="1233"/>
      <c r="AL437" s="87">
        <f t="shared" si="68"/>
        <v>41224.18</v>
      </c>
      <c r="AM437" s="402"/>
      <c r="AN437" s="1234">
        <f t="shared" si="65"/>
        <v>1338.1299999999974</v>
      </c>
      <c r="AO437" s="212">
        <f t="shared" si="69"/>
        <v>3.2459833039735354E-2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1236" t="s">
        <v>215</v>
      </c>
      <c r="X438" s="1233"/>
      <c r="Y438" s="1233"/>
      <c r="Z438" s="87">
        <v>5500</v>
      </c>
      <c r="AA438" s="1233"/>
      <c r="AB438" s="1233">
        <f t="shared" si="66"/>
        <v>0</v>
      </c>
      <c r="AC438" s="87">
        <v>0</v>
      </c>
      <c r="AD438" s="405"/>
      <c r="AE438" s="1237"/>
      <c r="AF438" s="87">
        <v>3122.8700000000003</v>
      </c>
      <c r="AG438" s="399"/>
      <c r="AH438" s="1234">
        <f t="shared" si="64"/>
        <v>-2377.1299999999997</v>
      </c>
      <c r="AI438" s="1235">
        <f t="shared" si="67"/>
        <v>-0.4322054545454545</v>
      </c>
      <c r="AJ438" s="405"/>
      <c r="AK438" s="1233"/>
      <c r="AL438" s="87">
        <f t="shared" si="68"/>
        <v>5946.31</v>
      </c>
      <c r="AM438" s="402"/>
      <c r="AN438" s="1234">
        <f t="shared" si="65"/>
        <v>-2823.44</v>
      </c>
      <c r="AO438" s="212">
        <f t="shared" si="69"/>
        <v>-0.47482220065889602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1236" t="s">
        <v>216</v>
      </c>
      <c r="X439" s="1233"/>
      <c r="Y439" s="1233"/>
      <c r="Z439" s="87">
        <v>35148</v>
      </c>
      <c r="AA439" s="1233"/>
      <c r="AB439" s="1233">
        <f t="shared" si="66"/>
        <v>0</v>
      </c>
      <c r="AC439" s="87">
        <v>0</v>
      </c>
      <c r="AD439" s="405"/>
      <c r="AE439" s="1237"/>
      <c r="AF439" s="87">
        <v>24830.739999999998</v>
      </c>
      <c r="AG439" s="399"/>
      <c r="AH439" s="1234">
        <f t="shared" si="64"/>
        <v>-10317.260000000002</v>
      </c>
      <c r="AI439" s="1235">
        <f t="shared" si="67"/>
        <v>-0.29353761238192788</v>
      </c>
      <c r="AJ439" s="405"/>
      <c r="AK439" s="1233"/>
      <c r="AL439" s="87">
        <f t="shared" si="68"/>
        <v>33830.35</v>
      </c>
      <c r="AM439" s="402"/>
      <c r="AN439" s="1234">
        <f t="shared" si="65"/>
        <v>-8999.61</v>
      </c>
      <c r="AO439" s="212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v>0</v>
      </c>
      <c r="AA440" s="590"/>
      <c r="AB440" s="590">
        <f t="shared" si="66"/>
        <v>0</v>
      </c>
      <c r="AC440" s="591">
        <v>0</v>
      </c>
      <c r="AD440" s="592"/>
      <c r="AE440" s="593"/>
      <c r="AF440" s="591">
        <v>0</v>
      </c>
      <c r="AG440" s="594"/>
      <c r="AH440" s="595">
        <f t="shared" si="64"/>
        <v>0</v>
      </c>
      <c r="AI440" s="596">
        <f t="shared" si="67"/>
        <v>0</v>
      </c>
      <c r="AJ440" s="592"/>
      <c r="AK440" s="590"/>
      <c r="AL440" s="591">
        <f t="shared" si="68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1236" t="s">
        <v>217</v>
      </c>
      <c r="X441" s="1233"/>
      <c r="Y441" s="1237"/>
      <c r="Z441" s="87">
        <v>3502.5</v>
      </c>
      <c r="AA441" s="1233"/>
      <c r="AB441" s="1237">
        <f t="shared" si="66"/>
        <v>0</v>
      </c>
      <c r="AC441" s="87">
        <v>0</v>
      </c>
      <c r="AD441" s="405"/>
      <c r="AE441" s="1237"/>
      <c r="AF441" s="87">
        <v>8325.0999999999985</v>
      </c>
      <c r="AG441" s="399"/>
      <c r="AH441" s="1234">
        <f t="shared" si="64"/>
        <v>4822.5999999999985</v>
      </c>
      <c r="AI441" s="1235">
        <f t="shared" si="67"/>
        <v>1.3769022127052102</v>
      </c>
      <c r="AJ441" s="405"/>
      <c r="AK441" s="1233"/>
      <c r="AL441" s="87">
        <f t="shared" si="68"/>
        <v>3132.19</v>
      </c>
      <c r="AM441" s="402"/>
      <c r="AN441" s="1234">
        <f t="shared" si="65"/>
        <v>5192.909999999998</v>
      </c>
      <c r="AO441" s="212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1236" t="s">
        <v>2984</v>
      </c>
      <c r="X442" s="1233"/>
      <c r="Y442" s="1233"/>
      <c r="Z442" s="87">
        <v>3180</v>
      </c>
      <c r="AA442" s="1233"/>
      <c r="AB442" s="1233">
        <f t="shared" si="66"/>
        <v>0</v>
      </c>
      <c r="AC442" s="87">
        <v>0</v>
      </c>
      <c r="AD442" s="405"/>
      <c r="AE442" s="1237"/>
      <c r="AF442" s="87">
        <v>3043.52</v>
      </c>
      <c r="AG442" s="399"/>
      <c r="AH442" s="1234">
        <f t="shared" si="64"/>
        <v>-136.48000000000002</v>
      </c>
      <c r="AI442" s="97">
        <f t="shared" si="67"/>
        <v>-4.2918238993710695E-2</v>
      </c>
      <c r="AJ442" s="405"/>
      <c r="AK442" s="1233"/>
      <c r="AL442" s="87">
        <f t="shared" si="68"/>
        <v>4766.09</v>
      </c>
      <c r="AM442" s="402"/>
      <c r="AN442" s="1234">
        <f t="shared" si="65"/>
        <v>-1722.5700000000002</v>
      </c>
      <c r="AO442" s="212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1236" t="s">
        <v>218</v>
      </c>
      <c r="X443" s="1233"/>
      <c r="Y443" s="1233"/>
      <c r="Z443" s="87">
        <v>4725</v>
      </c>
      <c r="AA443" s="1233"/>
      <c r="AB443" s="1233">
        <f t="shared" si="66"/>
        <v>0</v>
      </c>
      <c r="AC443" s="87">
        <v>0</v>
      </c>
      <c r="AD443" s="405"/>
      <c r="AE443" s="1237"/>
      <c r="AF443" s="87">
        <v>4939.67</v>
      </c>
      <c r="AG443" s="399"/>
      <c r="AH443" s="1234">
        <f t="shared" si="64"/>
        <v>214.67000000000007</v>
      </c>
      <c r="AI443" s="1235">
        <f t="shared" si="67"/>
        <v>4.5432804232804248E-2</v>
      </c>
      <c r="AJ443" s="405"/>
      <c r="AK443" s="1233"/>
      <c r="AL443" s="87">
        <f t="shared" si="68"/>
        <v>4387.26</v>
      </c>
      <c r="AM443" s="402"/>
      <c r="AN443" s="1234">
        <f t="shared" si="65"/>
        <v>552.40999999999985</v>
      </c>
      <c r="AO443" s="212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1236" t="s">
        <v>219</v>
      </c>
      <c r="X444" s="1233"/>
      <c r="Y444" s="1233"/>
      <c r="Z444" s="87">
        <v>1536</v>
      </c>
      <c r="AA444" s="1233"/>
      <c r="AB444" s="1233">
        <f t="shared" si="66"/>
        <v>0</v>
      </c>
      <c r="AC444" s="87">
        <v>0</v>
      </c>
      <c r="AD444" s="405"/>
      <c r="AE444" s="1237"/>
      <c r="AF444" s="87">
        <v>1415.6100000000001</v>
      </c>
      <c r="AG444" s="399"/>
      <c r="AH444" s="1234">
        <f t="shared" si="64"/>
        <v>-120.38999999999987</v>
      </c>
      <c r="AI444" s="97">
        <f t="shared" si="67"/>
        <v>-7.8378906249999922E-2</v>
      </c>
      <c r="AJ444" s="405"/>
      <c r="AK444" s="1233"/>
      <c r="AL444" s="87">
        <f t="shared" si="68"/>
        <v>1385.21</v>
      </c>
      <c r="AM444" s="402"/>
      <c r="AN444" s="1234">
        <f t="shared" si="65"/>
        <v>30.400000000000091</v>
      </c>
      <c r="AO444" s="212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1236" t="s">
        <v>220</v>
      </c>
      <c r="X445" s="1233"/>
      <c r="Y445" s="1233"/>
      <c r="Z445" s="87">
        <v>2850</v>
      </c>
      <c r="AA445" s="1233"/>
      <c r="AB445" s="1233">
        <f t="shared" si="66"/>
        <v>0</v>
      </c>
      <c r="AC445" s="87">
        <v>0</v>
      </c>
      <c r="AD445" s="405"/>
      <c r="AE445" s="1237"/>
      <c r="AF445" s="87">
        <v>3786.84</v>
      </c>
      <c r="AG445" s="399"/>
      <c r="AH445" s="1234">
        <f t="shared" si="64"/>
        <v>936.84000000000015</v>
      </c>
      <c r="AI445" s="1235">
        <f t="shared" si="67"/>
        <v>0.32871578947368424</v>
      </c>
      <c r="AJ445" s="405"/>
      <c r="AK445" s="1233"/>
      <c r="AL445" s="87">
        <f t="shared" si="68"/>
        <v>1109.79</v>
      </c>
      <c r="AM445" s="402"/>
      <c r="AN445" s="1234">
        <f t="shared" si="65"/>
        <v>2677.05</v>
      </c>
      <c r="AO445" s="212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1236" t="s">
        <v>221</v>
      </c>
      <c r="X446" s="1233"/>
      <c r="Y446" s="1237"/>
      <c r="Z446" s="87">
        <v>5223.0000000000009</v>
      </c>
      <c r="AA446" s="1233"/>
      <c r="AB446" s="1237">
        <f t="shared" si="66"/>
        <v>0</v>
      </c>
      <c r="AC446" s="87">
        <v>0</v>
      </c>
      <c r="AD446" s="405"/>
      <c r="AE446" s="1237"/>
      <c r="AF446" s="87">
        <v>8996.7999999999993</v>
      </c>
      <c r="AG446" s="399"/>
      <c r="AH446" s="1234">
        <f t="shared" si="64"/>
        <v>3773.7999999999984</v>
      </c>
      <c r="AI446" s="97">
        <f t="shared" si="67"/>
        <v>0.72253494160444143</v>
      </c>
      <c r="AJ446" s="405"/>
      <c r="AK446" s="1233"/>
      <c r="AL446" s="87">
        <f t="shared" si="68"/>
        <v>5633</v>
      </c>
      <c r="AM446" s="402"/>
      <c r="AN446" s="1234">
        <f t="shared" si="65"/>
        <v>3363.7999999999993</v>
      </c>
      <c r="AO446" s="212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1236" t="s">
        <v>222</v>
      </c>
      <c r="X447" s="1233"/>
      <c r="Y447" s="1237"/>
      <c r="Z447" s="87">
        <v>7747.0633999999991</v>
      </c>
      <c r="AA447" s="1233"/>
      <c r="AB447" s="1237">
        <f t="shared" si="66"/>
        <v>0</v>
      </c>
      <c r="AC447" s="87">
        <v>0</v>
      </c>
      <c r="AD447" s="405"/>
      <c r="AE447" s="1237"/>
      <c r="AF447" s="87">
        <v>5906.25</v>
      </c>
      <c r="AG447" s="399"/>
      <c r="AH447" s="1234">
        <f t="shared" si="64"/>
        <v>-1840.8133999999991</v>
      </c>
      <c r="AI447" s="1235">
        <f t="shared" si="67"/>
        <v>-0.23761434558545103</v>
      </c>
      <c r="AJ447" s="405"/>
      <c r="AK447" s="1233"/>
      <c r="AL447" s="87">
        <f t="shared" si="68"/>
        <v>5024.0400000000009</v>
      </c>
      <c r="AM447" s="402"/>
      <c r="AN447" s="1234">
        <f t="shared" si="65"/>
        <v>882.20999999999913</v>
      </c>
      <c r="AO447" s="212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1236" t="s">
        <v>223</v>
      </c>
      <c r="X448" s="1233"/>
      <c r="Y448" s="1237"/>
      <c r="Z448" s="87">
        <v>19893.999360316207</v>
      </c>
      <c r="AA448" s="1233"/>
      <c r="AB448" s="1237">
        <f t="shared" si="66"/>
        <v>0</v>
      </c>
      <c r="AC448" s="87">
        <v>0</v>
      </c>
      <c r="AD448" s="405"/>
      <c r="AE448" s="1237"/>
      <c r="AF448" s="87">
        <v>16374.25</v>
      </c>
      <c r="AG448" s="399"/>
      <c r="AH448" s="1234">
        <f t="shared" si="64"/>
        <v>-3519.7493603162075</v>
      </c>
      <c r="AI448" s="1235">
        <f t="shared" si="67"/>
        <v>-0.17692517711331937</v>
      </c>
      <c r="AJ448" s="405"/>
      <c r="AK448" s="1233"/>
      <c r="AL448" s="87">
        <v>17013.839999999997</v>
      </c>
      <c r="AM448" s="402"/>
      <c r="AN448" s="1234">
        <f>AF448-AL448</f>
        <v>-639.58999999999651</v>
      </c>
      <c r="AO448" s="212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2985</v>
      </c>
      <c r="W449" s="1236"/>
      <c r="X449" s="1233"/>
      <c r="Y449" s="1237"/>
      <c r="Z449" s="1234">
        <v>0</v>
      </c>
      <c r="AA449" s="1233"/>
      <c r="AB449" s="1233">
        <f t="shared" si="66"/>
        <v>0</v>
      </c>
      <c r="AC449" s="1234">
        <v>0</v>
      </c>
      <c r="AD449" s="405"/>
      <c r="AE449" s="1237"/>
      <c r="AF449" s="87">
        <v>0</v>
      </c>
      <c r="AG449" s="399"/>
      <c r="AH449" s="1234">
        <f t="shared" si="64"/>
        <v>0</v>
      </c>
      <c r="AI449" s="1235">
        <f t="shared" si="67"/>
        <v>0</v>
      </c>
      <c r="AJ449" s="405"/>
      <c r="AK449" s="1233"/>
      <c r="AL449" s="87">
        <f t="shared" si="68"/>
        <v>0</v>
      </c>
      <c r="AM449" s="402"/>
      <c r="AN449" s="1234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1236"/>
      <c r="X450" s="1233"/>
      <c r="Y450" s="1237"/>
      <c r="Z450" s="1234">
        <v>0</v>
      </c>
      <c r="AA450" s="1233"/>
      <c r="AB450" s="1233">
        <f t="shared" si="66"/>
        <v>0</v>
      </c>
      <c r="AC450" s="1234">
        <v>0</v>
      </c>
      <c r="AD450" s="405"/>
      <c r="AE450" s="1237"/>
      <c r="AF450" s="87">
        <v>0</v>
      </c>
      <c r="AG450" s="399"/>
      <c r="AH450" s="1234">
        <f t="shared" si="64"/>
        <v>0</v>
      </c>
      <c r="AI450" s="1235">
        <f t="shared" si="67"/>
        <v>0</v>
      </c>
      <c r="AJ450" s="405"/>
      <c r="AK450" s="1233"/>
      <c r="AL450" s="87"/>
      <c r="AM450" s="402"/>
      <c r="AN450" s="1234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1236"/>
      <c r="X451" s="1233"/>
      <c r="Y451" s="1237"/>
      <c r="Z451" s="1234">
        <v>0</v>
      </c>
      <c r="AA451" s="1233"/>
      <c r="AB451" s="1233">
        <f t="shared" si="66"/>
        <v>0</v>
      </c>
      <c r="AC451" s="1234">
        <v>0</v>
      </c>
      <c r="AD451" s="405"/>
      <c r="AE451" s="1237"/>
      <c r="AF451" s="87">
        <v>0</v>
      </c>
      <c r="AG451" s="399"/>
      <c r="AH451" s="1234">
        <f t="shared" si="64"/>
        <v>0</v>
      </c>
      <c r="AI451" s="1235">
        <f t="shared" si="67"/>
        <v>0</v>
      </c>
      <c r="AJ451" s="405"/>
      <c r="AK451" s="1233"/>
      <c r="AL451" s="87"/>
      <c r="AM451" s="402"/>
      <c r="AN451" s="1234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51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1236" t="s">
        <v>225</v>
      </c>
      <c r="X453" s="1233"/>
      <c r="Y453" s="1237"/>
      <c r="Z453" s="87">
        <v>150000</v>
      </c>
      <c r="AA453" s="1233"/>
      <c r="AB453" s="1237">
        <f t="shared" ref="AB453:AB462" si="70">IF(AC453=0,0,AC453/(G$13+G$97))</f>
        <v>0</v>
      </c>
      <c r="AC453" s="87">
        <v>0</v>
      </c>
      <c r="AD453" s="405"/>
      <c r="AE453" s="1237"/>
      <c r="AF453" s="87">
        <v>150000</v>
      </c>
      <c r="AG453" s="399"/>
      <c r="AH453" s="1234">
        <f t="shared" ref="AH453:AH461" si="71">AF453-Z453</f>
        <v>0</v>
      </c>
      <c r="AI453" s="1235">
        <f t="shared" ref="AI453:AI461" si="72">IF(Z453=0,0,AH453/Z453)</f>
        <v>0</v>
      </c>
      <c r="AJ453" s="405"/>
      <c r="AK453" s="1233"/>
      <c r="AL453" s="87">
        <v>150000</v>
      </c>
      <c r="AM453" s="402"/>
      <c r="AN453" s="1234">
        <f>AF453-AL453</f>
        <v>0</v>
      </c>
      <c r="AO453" s="212">
        <f t="shared" ref="AO453:AO461" si="73">IF(AL453=0,0,AN453/AL453)</f>
        <v>0</v>
      </c>
      <c r="AP453" s="79"/>
      <c r="AQ453" s="752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1236" t="s">
        <v>227</v>
      </c>
      <c r="X454" s="1233"/>
      <c r="Y454" s="1237"/>
      <c r="Z454" s="87">
        <v>17799.21</v>
      </c>
      <c r="AA454" s="1233"/>
      <c r="AB454" s="1237">
        <f t="shared" si="70"/>
        <v>0</v>
      </c>
      <c r="AC454" s="87">
        <v>0</v>
      </c>
      <c r="AD454" s="405"/>
      <c r="AE454" s="1237"/>
      <c r="AF454" s="87">
        <v>18500.39</v>
      </c>
      <c r="AG454" s="399"/>
      <c r="AH454" s="1234">
        <f t="shared" si="71"/>
        <v>701.18000000000029</v>
      </c>
      <c r="AI454" s="1235">
        <f t="shared" si="72"/>
        <v>3.9393883211670651E-2</v>
      </c>
      <c r="AJ454" s="405"/>
      <c r="AK454" s="1233"/>
      <c r="AL454" s="87">
        <v>16606.53</v>
      </c>
      <c r="AM454" s="402"/>
      <c r="AN454" s="1234">
        <f t="shared" ref="AN454:AN461" si="74">AF454-AL454</f>
        <v>1893.8600000000006</v>
      </c>
      <c r="AO454" s="212">
        <f t="shared" si="73"/>
        <v>0.11404309027834236</v>
      </c>
      <c r="AP454" s="79"/>
      <c r="AQ454" s="752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v>7628.25</v>
      </c>
      <c r="AA455" s="388"/>
      <c r="AB455" s="407">
        <f t="shared" si="70"/>
        <v>0</v>
      </c>
      <c r="AC455" s="389">
        <v>0</v>
      </c>
      <c r="AD455" s="408"/>
      <c r="AE455" s="407"/>
      <c r="AF455" s="389">
        <v>7928.76</v>
      </c>
      <c r="AG455" s="390"/>
      <c r="AH455" s="391">
        <f t="shared" si="71"/>
        <v>300.51000000000022</v>
      </c>
      <c r="AI455" s="409">
        <f t="shared" si="72"/>
        <v>3.9394356503785304E-2</v>
      </c>
      <c r="AJ455" s="408"/>
      <c r="AK455" s="388"/>
      <c r="AL455" s="389">
        <v>7117.0799999999708</v>
      </c>
      <c r="AM455" s="393"/>
      <c r="AN455" s="391">
        <f t="shared" si="74"/>
        <v>811.68000000002939</v>
      </c>
      <c r="AO455" s="394">
        <f t="shared" si="73"/>
        <v>0.11404677199076485</v>
      </c>
      <c r="AP455" s="79"/>
      <c r="AQ455" s="752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1236"/>
      <c r="X456" s="1233"/>
      <c r="Y456" s="1237"/>
      <c r="Z456" s="87">
        <v>0</v>
      </c>
      <c r="AA456" s="1233"/>
      <c r="AB456" s="1237">
        <f t="shared" si="70"/>
        <v>0</v>
      </c>
      <c r="AC456" s="87">
        <v>0</v>
      </c>
      <c r="AD456" s="405"/>
      <c r="AE456" s="1237"/>
      <c r="AF456" s="87">
        <v>0</v>
      </c>
      <c r="AG456" s="399"/>
      <c r="AH456" s="1234">
        <f t="shared" si="71"/>
        <v>0</v>
      </c>
      <c r="AI456" s="1235">
        <f t="shared" si="72"/>
        <v>0</v>
      </c>
      <c r="AJ456" s="405"/>
      <c r="AK456" s="1233"/>
      <c r="AL456" s="87">
        <v>0</v>
      </c>
      <c r="AM456" s="402"/>
      <c r="AN456" s="1234">
        <f t="shared" si="74"/>
        <v>0</v>
      </c>
      <c r="AO456" s="212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v>14562</v>
      </c>
      <c r="AA457" s="388"/>
      <c r="AB457" s="407">
        <f t="shared" si="70"/>
        <v>0</v>
      </c>
      <c r="AC457" s="389">
        <v>0</v>
      </c>
      <c r="AD457" s="408"/>
      <c r="AE457" s="407"/>
      <c r="AF457" s="389">
        <v>14561.49</v>
      </c>
      <c r="AG457" s="390"/>
      <c r="AH457" s="391">
        <f t="shared" si="71"/>
        <v>-0.51000000000021828</v>
      </c>
      <c r="AI457" s="409">
        <f t="shared" si="72"/>
        <v>-3.5022661722305881E-5</v>
      </c>
      <c r="AJ457" s="408"/>
      <c r="AK457" s="388"/>
      <c r="AL457" s="389">
        <v>14362.7</v>
      </c>
      <c r="AM457" s="393"/>
      <c r="AN457" s="391">
        <f t="shared" si="74"/>
        <v>198.78999999999905</v>
      </c>
      <c r="AO457" s="394">
        <f t="shared" si="73"/>
        <v>1.3840712400871636E-2</v>
      </c>
      <c r="AP457" s="79"/>
      <c r="AQ457" s="752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1236" t="s">
        <v>234</v>
      </c>
      <c r="X458" s="1238"/>
      <c r="Y458" s="1239"/>
      <c r="Z458" s="87">
        <v>15000</v>
      </c>
      <c r="AA458" s="1238"/>
      <c r="AB458" s="1239">
        <f t="shared" si="70"/>
        <v>0</v>
      </c>
      <c r="AC458" s="87">
        <v>0</v>
      </c>
      <c r="AD458" s="405"/>
      <c r="AE458" s="1237"/>
      <c r="AF458" s="87">
        <v>15595.650000000001</v>
      </c>
      <c r="AG458" s="399"/>
      <c r="AH458" s="1234">
        <f t="shared" si="71"/>
        <v>595.65000000000146</v>
      </c>
      <c r="AI458" s="1235">
        <f t="shared" si="72"/>
        <v>3.9710000000000099E-2</v>
      </c>
      <c r="AJ458" s="405"/>
      <c r="AK458" s="1233"/>
      <c r="AL458" s="87">
        <v>12964.74</v>
      </c>
      <c r="AM458" s="402"/>
      <c r="AN458" s="1234">
        <f t="shared" si="74"/>
        <v>2630.9100000000017</v>
      </c>
      <c r="AO458" s="212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1236" t="s">
        <v>236</v>
      </c>
      <c r="X459" s="1233"/>
      <c r="Y459" s="1237"/>
      <c r="Z459" s="87">
        <v>19624</v>
      </c>
      <c r="AA459" s="1233"/>
      <c r="AB459" s="1237">
        <f t="shared" si="70"/>
        <v>0</v>
      </c>
      <c r="AC459" s="87">
        <v>0</v>
      </c>
      <c r="AD459" s="405"/>
      <c r="AE459" s="1237"/>
      <c r="AF459" s="87">
        <v>18921.989999999998</v>
      </c>
      <c r="AG459" s="399"/>
      <c r="AH459" s="1234">
        <f t="shared" si="71"/>
        <v>-702.01000000000204</v>
      </c>
      <c r="AI459" s="1235">
        <f t="shared" si="72"/>
        <v>-3.5773033020790969E-2</v>
      </c>
      <c r="AJ459" s="405"/>
      <c r="AK459" s="1233"/>
      <c r="AL459" s="87">
        <v>18921.989999999998</v>
      </c>
      <c r="AM459" s="402"/>
      <c r="AN459" s="1234">
        <f t="shared" si="74"/>
        <v>0</v>
      </c>
      <c r="AO459" s="212">
        <f t="shared" si="73"/>
        <v>0</v>
      </c>
      <c r="AP459" s="79"/>
      <c r="AQ459" s="752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>
        <v>1300</v>
      </c>
      <c r="AA460" s="388"/>
      <c r="AB460" s="407">
        <f t="shared" si="70"/>
        <v>0</v>
      </c>
      <c r="AC460" s="389">
        <v>0</v>
      </c>
      <c r="AD460" s="408"/>
      <c r="AE460" s="407"/>
      <c r="AF460" s="389">
        <v>800</v>
      </c>
      <c r="AG460" s="390"/>
      <c r="AH460" s="391">
        <f t="shared" si="71"/>
        <v>-500</v>
      </c>
      <c r="AI460" s="409">
        <f t="shared" si="72"/>
        <v>-0.38461538461538464</v>
      </c>
      <c r="AJ460" s="408"/>
      <c r="AK460" s="388"/>
      <c r="AL460" s="389">
        <v>868.55</v>
      </c>
      <c r="AM460" s="393"/>
      <c r="AN460" s="391">
        <f t="shared" si="74"/>
        <v>-68.549999999999955</v>
      </c>
      <c r="AO460" s="394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240"/>
      <c r="V461" s="267" t="s">
        <v>239</v>
      </c>
      <c r="W461" s="1236" t="s">
        <v>240</v>
      </c>
      <c r="X461" s="1233"/>
      <c r="Y461" s="1237"/>
      <c r="Z461" s="87">
        <v>636.00000000000011</v>
      </c>
      <c r="AA461" s="1233"/>
      <c r="AB461" s="1237">
        <f t="shared" si="70"/>
        <v>0</v>
      </c>
      <c r="AC461" s="87">
        <v>0</v>
      </c>
      <c r="AD461" s="405"/>
      <c r="AE461" s="1237"/>
      <c r="AF461" s="87">
        <v>492</v>
      </c>
      <c r="AG461" s="399"/>
      <c r="AH461" s="1234">
        <f t="shared" si="71"/>
        <v>-144.00000000000011</v>
      </c>
      <c r="AI461" s="418">
        <f t="shared" si="72"/>
        <v>-0.22641509433962279</v>
      </c>
      <c r="AJ461" s="1233"/>
      <c r="AK461" s="1233"/>
      <c r="AL461" s="87">
        <v>521.88</v>
      </c>
      <c r="AM461" s="402"/>
      <c r="AN461" s="1234">
        <f t="shared" si="74"/>
        <v>-29.879999999999995</v>
      </c>
      <c r="AO461" s="212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240"/>
      <c r="V462" s="267" t="s">
        <v>241</v>
      </c>
      <c r="W462" s="1236" t="s">
        <v>242</v>
      </c>
      <c r="X462" s="1233"/>
      <c r="Y462" s="1237"/>
      <c r="Z462" s="87">
        <v>0</v>
      </c>
      <c r="AA462" s="1233"/>
      <c r="AB462" s="1237">
        <f t="shared" si="70"/>
        <v>0</v>
      </c>
      <c r="AC462" s="87">
        <v>0</v>
      </c>
      <c r="AD462" s="405"/>
      <c r="AE462" s="1237"/>
      <c r="AF462" s="87">
        <v>0</v>
      </c>
      <c r="AG462" s="399"/>
      <c r="AH462" s="1234">
        <v>0</v>
      </c>
      <c r="AI462" s="97">
        <v>0</v>
      </c>
      <c r="AJ462" s="1233"/>
      <c r="AK462" s="1233"/>
      <c r="AL462" s="87">
        <v>0</v>
      </c>
      <c r="AM462" s="402"/>
      <c r="AN462" s="1234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240"/>
      <c r="V463" s="267" t="s">
        <v>42</v>
      </c>
      <c r="W463" s="1236"/>
      <c r="X463" s="1233"/>
      <c r="Y463" s="1237"/>
      <c r="Z463" s="1234">
        <v>0</v>
      </c>
      <c r="AA463" s="1233"/>
      <c r="AB463" s="1233"/>
      <c r="AC463" s="1234">
        <v>0</v>
      </c>
      <c r="AD463" s="405"/>
      <c r="AE463" s="1237"/>
      <c r="AF463" s="87">
        <v>0</v>
      </c>
      <c r="AG463" s="399"/>
      <c r="AH463" s="1234">
        <f>AF463-Z463</f>
        <v>0</v>
      </c>
      <c r="AI463" s="1235">
        <f>IF(Z463=0,0,AH463/Z463)</f>
        <v>0</v>
      </c>
      <c r="AJ463" s="405"/>
      <c r="AK463" s="1233"/>
      <c r="AL463" s="87">
        <v>0</v>
      </c>
      <c r="AM463" s="402"/>
      <c r="AN463" s="1234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240"/>
      <c r="V464" s="267" t="s">
        <v>42</v>
      </c>
      <c r="W464" s="1236"/>
      <c r="X464" s="1233"/>
      <c r="Y464" s="1237"/>
      <c r="Z464" s="1234">
        <v>0</v>
      </c>
      <c r="AA464" s="1233"/>
      <c r="AB464" s="1233"/>
      <c r="AC464" s="1234">
        <v>0</v>
      </c>
      <c r="AD464" s="405"/>
      <c r="AE464" s="1237"/>
      <c r="AF464" s="87">
        <v>0</v>
      </c>
      <c r="AG464" s="399"/>
      <c r="AH464" s="1234">
        <f>AF464-Z464</f>
        <v>0</v>
      </c>
      <c r="AI464" s="1235">
        <f>IF(Z464=0,0,AH464/Z464)</f>
        <v>0</v>
      </c>
      <c r="AJ464" s="405"/>
      <c r="AK464" s="1233"/>
      <c r="AL464" s="87">
        <v>0</v>
      </c>
      <c r="AM464" s="402"/>
      <c r="AN464" s="1234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1236"/>
      <c r="X465" s="1233"/>
      <c r="Y465" s="1237"/>
      <c r="Z465" s="1234">
        <v>0</v>
      </c>
      <c r="AA465" s="1233"/>
      <c r="AB465" s="1233"/>
      <c r="AC465" s="1234">
        <v>0</v>
      </c>
      <c r="AD465" s="405"/>
      <c r="AE465" s="1237"/>
      <c r="AF465" s="87">
        <v>0</v>
      </c>
      <c r="AG465" s="399"/>
      <c r="AH465" s="1234">
        <f>AF465-Z465</f>
        <v>0</v>
      </c>
      <c r="AI465" s="1235">
        <f>IF(Z465=0,0,AH465/Z465)</f>
        <v>0</v>
      </c>
      <c r="AJ465" s="405"/>
      <c r="AK465" s="1233"/>
      <c r="AL465" s="87">
        <v>0</v>
      </c>
      <c r="AM465" s="402"/>
      <c r="AN465" s="1234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51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1233"/>
      <c r="X467" s="1233"/>
      <c r="Y467" s="1233"/>
      <c r="Z467" s="105"/>
      <c r="AA467" s="1233"/>
      <c r="AB467" s="1233"/>
      <c r="AC467" s="105"/>
      <c r="AD467" s="405"/>
      <c r="AE467" s="1233"/>
      <c r="AF467" s="105"/>
      <c r="AG467" s="405"/>
      <c r="AH467" s="1234">
        <f t="shared" ref="AH467:AH481" si="76">AF467-Z467</f>
        <v>0</v>
      </c>
      <c r="AI467" s="1235"/>
      <c r="AJ467" s="405"/>
      <c r="AK467" s="1233"/>
      <c r="AL467" s="105"/>
      <c r="AM467" s="419"/>
      <c r="AN467" s="1234">
        <f t="shared" ref="AN467:AN483" si="77">AF467-AL467</f>
        <v>0</v>
      </c>
      <c r="AO467" s="420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6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1239"/>
      <c r="X469" s="1239"/>
      <c r="Y469" s="1233"/>
      <c r="Z469" s="238">
        <v>0</v>
      </c>
      <c r="AA469" s="239"/>
      <c r="AB469" s="240">
        <f t="shared" ref="AB469:AB477" si="78">IF(AC469=0,0,AC469/(G$13+G$97))</f>
        <v>0</v>
      </c>
      <c r="AC469" s="238">
        <v>0</v>
      </c>
      <c r="AD469" s="242"/>
      <c r="AE469" s="240"/>
      <c r="AF469" s="87">
        <v>11717.99</v>
      </c>
      <c r="AG469" s="241"/>
      <c r="AH469" s="1234">
        <f t="shared" si="76"/>
        <v>11717.99</v>
      </c>
      <c r="AI469" s="418" t="e">
        <f>IF(AH469=0,0,AH469/Z469)</f>
        <v>#DIV/0!</v>
      </c>
      <c r="AJ469" s="242"/>
      <c r="AK469" s="239"/>
      <c r="AL469" s="421">
        <v>11062.830000000002</v>
      </c>
      <c r="AM469" s="243"/>
      <c r="AN469" s="1234">
        <f t="shared" si="77"/>
        <v>655.15999999999804</v>
      </c>
      <c r="AO469" s="212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1233"/>
      <c r="X470" s="1233"/>
      <c r="Y470" s="1233"/>
      <c r="Z470" s="87">
        <v>111234.72218181819</v>
      </c>
      <c r="AA470" s="1238"/>
      <c r="AB470" s="1239">
        <f t="shared" si="78"/>
        <v>0</v>
      </c>
      <c r="AC470" s="87">
        <v>0</v>
      </c>
      <c r="AD470" s="246"/>
      <c r="AE470" s="1239"/>
      <c r="AF470" s="87">
        <v>82883.199999999997</v>
      </c>
      <c r="AG470" s="245"/>
      <c r="AH470" s="1234">
        <f t="shared" si="76"/>
        <v>-28351.522181818189</v>
      </c>
      <c r="AI470" s="97">
        <f>IF(Z470=0,0,AH470/Z470)</f>
        <v>-0.25488014556710398</v>
      </c>
      <c r="AJ470" s="246"/>
      <c r="AK470" s="1238"/>
      <c r="AL470" s="247">
        <v>107698.5</v>
      </c>
      <c r="AM470" s="1241"/>
      <c r="AN470" s="1234">
        <f t="shared" si="77"/>
        <v>-24815.300000000003</v>
      </c>
      <c r="AO470" s="212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1233"/>
      <c r="X471" s="1233"/>
      <c r="Y471" s="1233"/>
      <c r="Z471" s="87">
        <v>102892.11801818182</v>
      </c>
      <c r="AA471" s="1238"/>
      <c r="AB471" s="1239">
        <f t="shared" si="78"/>
        <v>0</v>
      </c>
      <c r="AC471" s="87">
        <v>0</v>
      </c>
      <c r="AD471" s="246"/>
      <c r="AE471" s="1239"/>
      <c r="AF471" s="87">
        <v>75981.91</v>
      </c>
      <c r="AG471" s="245"/>
      <c r="AH471" s="1234">
        <f t="shared" si="76"/>
        <v>-26910.208018181816</v>
      </c>
      <c r="AI471" s="97">
        <f t="shared" ref="AI471:AI480" si="79">IF(AH471=0,0,AH471/Z471)</f>
        <v>-0.26153808995774175</v>
      </c>
      <c r="AJ471" s="246"/>
      <c r="AK471" s="1238"/>
      <c r="AL471" s="247">
        <v>85982.59</v>
      </c>
      <c r="AM471" s="1241"/>
      <c r="AN471" s="1234">
        <f t="shared" si="77"/>
        <v>-10000.679999999993</v>
      </c>
      <c r="AO471" s="212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1233"/>
      <c r="X472" s="1233"/>
      <c r="Y472" s="1233"/>
      <c r="Z472" s="87">
        <v>0</v>
      </c>
      <c r="AA472" s="1238"/>
      <c r="AB472" s="1239">
        <f t="shared" si="78"/>
        <v>0</v>
      </c>
      <c r="AC472" s="87">
        <v>0</v>
      </c>
      <c r="AD472" s="246"/>
      <c r="AE472" s="1239"/>
      <c r="AF472" s="87">
        <v>0</v>
      </c>
      <c r="AG472" s="245"/>
      <c r="AH472" s="1234">
        <f t="shared" si="76"/>
        <v>0</v>
      </c>
      <c r="AI472" s="97">
        <f t="shared" si="79"/>
        <v>0</v>
      </c>
      <c r="AJ472" s="246"/>
      <c r="AK472" s="1238"/>
      <c r="AL472" s="247">
        <v>0</v>
      </c>
      <c r="AM472" s="1241"/>
      <c r="AN472" s="1234">
        <f t="shared" si="77"/>
        <v>0</v>
      </c>
      <c r="AO472" s="212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1233"/>
      <c r="X473" s="1233"/>
      <c r="Y473" s="1233"/>
      <c r="Z473" s="87">
        <v>0</v>
      </c>
      <c r="AA473" s="1238"/>
      <c r="AB473" s="1239">
        <f t="shared" si="78"/>
        <v>0</v>
      </c>
      <c r="AC473" s="87">
        <v>0</v>
      </c>
      <c r="AD473" s="246"/>
      <c r="AE473" s="1239"/>
      <c r="AF473" s="87">
        <v>0</v>
      </c>
      <c r="AG473" s="245"/>
      <c r="AH473" s="1234">
        <f t="shared" si="76"/>
        <v>0</v>
      </c>
      <c r="AI473" s="97">
        <f t="shared" si="79"/>
        <v>0</v>
      </c>
      <c r="AJ473" s="246"/>
      <c r="AK473" s="1238"/>
      <c r="AL473" s="247">
        <v>0</v>
      </c>
      <c r="AM473" s="1241"/>
      <c r="AN473" s="1234">
        <f t="shared" si="77"/>
        <v>0</v>
      </c>
      <c r="AO473" s="212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1233"/>
      <c r="X474" s="1233"/>
      <c r="Y474" s="1233"/>
      <c r="Z474" s="87">
        <v>7875</v>
      </c>
      <c r="AA474" s="1238"/>
      <c r="AB474" s="1239">
        <f t="shared" si="78"/>
        <v>0</v>
      </c>
      <c r="AC474" s="87">
        <v>0</v>
      </c>
      <c r="AD474" s="246"/>
      <c r="AE474" s="1239"/>
      <c r="AF474" s="87">
        <v>5625</v>
      </c>
      <c r="AG474" s="245"/>
      <c r="AH474" s="1234">
        <f t="shared" si="76"/>
        <v>-2250</v>
      </c>
      <c r="AI474" s="97">
        <f t="shared" si="79"/>
        <v>-0.2857142857142857</v>
      </c>
      <c r="AJ474" s="246"/>
      <c r="AK474" s="1238"/>
      <c r="AL474" s="247">
        <v>0</v>
      </c>
      <c r="AM474" s="1241"/>
      <c r="AN474" s="1234">
        <f t="shared" si="77"/>
        <v>5625</v>
      </c>
      <c r="AO474" s="212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1233"/>
      <c r="X475" s="1233"/>
      <c r="Y475" s="1233"/>
      <c r="Z475" s="87">
        <v>2814</v>
      </c>
      <c r="AA475" s="1238"/>
      <c r="AB475" s="1239">
        <f t="shared" si="78"/>
        <v>0</v>
      </c>
      <c r="AC475" s="87">
        <v>0</v>
      </c>
      <c r="AD475" s="246"/>
      <c r="AE475" s="1239"/>
      <c r="AF475" s="87">
        <v>100</v>
      </c>
      <c r="AG475" s="245"/>
      <c r="AH475" s="1234">
        <f t="shared" si="76"/>
        <v>-2714</v>
      </c>
      <c r="AI475" s="97">
        <f t="shared" si="79"/>
        <v>-0.96446339729921815</v>
      </c>
      <c r="AJ475" s="246"/>
      <c r="AK475" s="1238"/>
      <c r="AL475" s="247">
        <v>0</v>
      </c>
      <c r="AM475" s="1241"/>
      <c r="AN475" s="1234">
        <f t="shared" si="77"/>
        <v>100</v>
      </c>
      <c r="AO475" s="212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1233"/>
      <c r="X476" s="1233"/>
      <c r="Y476" s="1233"/>
      <c r="Z476" s="87">
        <v>0</v>
      </c>
      <c r="AA476" s="1238"/>
      <c r="AB476" s="1239">
        <f t="shared" si="78"/>
        <v>0</v>
      </c>
      <c r="AC476" s="87">
        <v>0</v>
      </c>
      <c r="AD476" s="246"/>
      <c r="AE476" s="1239"/>
      <c r="AF476" s="87">
        <v>0</v>
      </c>
      <c r="AG476" s="245"/>
      <c r="AH476" s="1234">
        <f t="shared" si="76"/>
        <v>0</v>
      </c>
      <c r="AI476" s="97">
        <f t="shared" si="79"/>
        <v>0</v>
      </c>
      <c r="AJ476" s="246"/>
      <c r="AK476" s="1238"/>
      <c r="AL476" s="247">
        <v>0</v>
      </c>
      <c r="AM476" s="1241"/>
      <c r="AN476" s="1234">
        <f t="shared" si="77"/>
        <v>0</v>
      </c>
      <c r="AO476" s="212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1233"/>
      <c r="X477" s="1233"/>
      <c r="Y477" s="1233"/>
      <c r="Z477" s="87">
        <v>58398.229145454556</v>
      </c>
      <c r="AA477" s="1238"/>
      <c r="AB477" s="1239">
        <f t="shared" si="78"/>
        <v>0</v>
      </c>
      <c r="AC477" s="87">
        <v>0</v>
      </c>
      <c r="AD477" s="246"/>
      <c r="AE477" s="1239"/>
      <c r="AF477" s="87">
        <v>53922.659999999996</v>
      </c>
      <c r="AG477" s="245"/>
      <c r="AH477" s="1234">
        <f t="shared" si="76"/>
        <v>-4475.5691454545595</v>
      </c>
      <c r="AI477" s="97">
        <f t="shared" si="79"/>
        <v>-7.663878187653772E-2</v>
      </c>
      <c r="AJ477" s="246"/>
      <c r="AK477" s="1238"/>
      <c r="AL477" s="247">
        <v>53334.92</v>
      </c>
      <c r="AM477" s="1241"/>
      <c r="AN477" s="1234">
        <f t="shared" si="77"/>
        <v>587.73999999999796</v>
      </c>
      <c r="AO477" s="212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1233"/>
      <c r="X478" s="1233"/>
      <c r="Y478" s="1233"/>
      <c r="Z478" s="1234">
        <v>0</v>
      </c>
      <c r="AA478" s="1233"/>
      <c r="AB478" s="1233">
        <f>IF(AC478=0,0,AC478/(G$13+G$97))</f>
        <v>0</v>
      </c>
      <c r="AC478" s="1234">
        <v>0</v>
      </c>
      <c r="AD478" s="405"/>
      <c r="AE478" s="1237"/>
      <c r="AF478" s="87">
        <v>0</v>
      </c>
      <c r="AG478" s="399"/>
      <c r="AH478" s="1234">
        <f t="shared" si="76"/>
        <v>0</v>
      </c>
      <c r="AI478" s="1235">
        <f t="shared" si="79"/>
        <v>0</v>
      </c>
      <c r="AJ478" s="405"/>
      <c r="AK478" s="1233"/>
      <c r="AL478" s="87">
        <v>0</v>
      </c>
      <c r="AM478" s="1241"/>
      <c r="AN478" s="1234">
        <f t="shared" si="77"/>
        <v>0</v>
      </c>
      <c r="AO478" s="212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1233"/>
      <c r="X479" s="1233"/>
      <c r="Y479" s="1233"/>
      <c r="Z479" s="1234">
        <v>0</v>
      </c>
      <c r="AA479" s="1233"/>
      <c r="AB479" s="1233">
        <f>IF(AC479=0,0,AC479/(G$13+G$97))</f>
        <v>0</v>
      </c>
      <c r="AC479" s="1234">
        <v>0</v>
      </c>
      <c r="AD479" s="405"/>
      <c r="AE479" s="1237"/>
      <c r="AF479" s="87">
        <v>0</v>
      </c>
      <c r="AG479" s="399"/>
      <c r="AH479" s="1234">
        <f t="shared" si="76"/>
        <v>0</v>
      </c>
      <c r="AI479" s="1235">
        <f t="shared" si="79"/>
        <v>0</v>
      </c>
      <c r="AJ479" s="405"/>
      <c r="AK479" s="1233"/>
      <c r="AL479" s="87">
        <v>0</v>
      </c>
      <c r="AM479" s="1241"/>
      <c r="AN479" s="1234">
        <f t="shared" si="77"/>
        <v>0</v>
      </c>
      <c r="AO479" s="212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1233"/>
      <c r="X480" s="1233"/>
      <c r="Y480" s="1233"/>
      <c r="Z480" s="87">
        <v>68621.350000000006</v>
      </c>
      <c r="AA480" s="1238"/>
      <c r="AB480" s="1239">
        <f>IF(AC480=0,0,AC480/(G$13+G$97))</f>
        <v>0</v>
      </c>
      <c r="AC480" s="87">
        <v>0</v>
      </c>
      <c r="AD480" s="246"/>
      <c r="AE480" s="1239"/>
      <c r="AF480" s="87">
        <v>56525</v>
      </c>
      <c r="AG480" s="245"/>
      <c r="AH480" s="1234">
        <f t="shared" si="76"/>
        <v>-12096.350000000006</v>
      </c>
      <c r="AI480" s="97">
        <f t="shared" si="79"/>
        <v>-0.17627677100494241</v>
      </c>
      <c r="AJ480" s="246"/>
      <c r="AK480" s="1238"/>
      <c r="AL480" s="247">
        <v>63070</v>
      </c>
      <c r="AM480" s="1241"/>
      <c r="AN480" s="1234">
        <f t="shared" si="77"/>
        <v>-6545</v>
      </c>
      <c r="AO480" s="212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51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242"/>
      <c r="AI482" s="1243"/>
      <c r="AJ482" s="117"/>
      <c r="AK482" s="118"/>
      <c r="AL482" s="113"/>
      <c r="AM482" s="119"/>
      <c r="AN482" s="1242"/>
      <c r="AO482" s="423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1.5191118977706492E-2</v>
      </c>
      <c r="Z483" s="428">
        <f>Z407-Z468+Z481</f>
        <v>183158.8552878669</v>
      </c>
      <c r="AA483" s="426" t="s">
        <v>247</v>
      </c>
      <c r="AB483" s="427" t="e">
        <f>AC483/AC406</f>
        <v>#DIV/0!</v>
      </c>
      <c r="AC483" s="428">
        <f>AC407-AC468+AC481</f>
        <v>0</v>
      </c>
      <c r="AD483" s="426" t="s">
        <v>247</v>
      </c>
      <c r="AE483" s="427">
        <f>AF483/AF406</f>
        <v>1.5548453801254176E-2</v>
      </c>
      <c r="AF483" s="215">
        <f>AF407-AF468+AF481</f>
        <v>154440.95999999996</v>
      </c>
      <c r="AG483" s="429"/>
      <c r="AH483" s="215">
        <f>AF483-Z483</f>
        <v>-28717.895287866937</v>
      </c>
      <c r="AI483" s="745">
        <f>AH483/Z483</f>
        <v>-0.15679228417720578</v>
      </c>
      <c r="AJ483" s="430" t="s">
        <v>247</v>
      </c>
      <c r="AK483" s="427">
        <f>IF($AL$406=0,0,AL483/$AL$406)</f>
        <v>1.1465524822115476E-2</v>
      </c>
      <c r="AL483" s="215">
        <f>AL407-AL468+AL481</f>
        <v>133216.01999999839</v>
      </c>
      <c r="AM483" s="216"/>
      <c r="AN483" s="215">
        <f t="shared" si="77"/>
        <v>21224.940000001574</v>
      </c>
      <c r="AO483" s="431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2.3075666356531917E-2</v>
      </c>
      <c r="Z488" s="1123">
        <f>+Z489+Z415</f>
        <v>278222.6010519492</v>
      </c>
      <c r="AA488" s="1120"/>
      <c r="AB488" s="1121"/>
      <c r="AC488" s="1122"/>
      <c r="AD488" s="1120" t="s">
        <v>247</v>
      </c>
      <c r="AE488" s="1121">
        <f>AF488/AF406</f>
        <v>2.3299805166319191E-2</v>
      </c>
      <c r="AF488" s="1123">
        <f>+AF489+AF415</f>
        <v>231434.21999999997</v>
      </c>
      <c r="AG488" s="1124"/>
      <c r="AH488" s="1124">
        <f>AF488-Z488</f>
        <v>-46788.381051949225</v>
      </c>
      <c r="AI488" s="1244">
        <f>AH488/Z488</f>
        <v>-0.16816887224490071</v>
      </c>
      <c r="AJ488" s="1120" t="s">
        <v>247</v>
      </c>
      <c r="AK488" s="1121">
        <f>AL488/AL406</f>
        <v>2.0628580056140367E-2</v>
      </c>
      <c r="AL488" s="1123">
        <f>+AL489+AL415</f>
        <v>239680.02999999837</v>
      </c>
      <c r="AM488" s="1125"/>
      <c r="AN488" s="1123">
        <f>AF488-AL488</f>
        <v>-8245.809999998397</v>
      </c>
      <c r="AO488" s="1126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1.5191118977706492E-2</v>
      </c>
      <c r="Z489" s="436">
        <f>Z483</f>
        <v>183158.8552878669</v>
      </c>
      <c r="AA489" s="434" t="s">
        <v>247</v>
      </c>
      <c r="AB489" s="435" t="e">
        <f>AC489/AC406</f>
        <v>#DIV/0!</v>
      </c>
      <c r="AC489" s="436">
        <f>AC483</f>
        <v>0</v>
      </c>
      <c r="AD489" s="434" t="s">
        <v>247</v>
      </c>
      <c r="AE489" s="435">
        <f>AF489/AF406</f>
        <v>1.5548453801254176E-2</v>
      </c>
      <c r="AF489" s="436">
        <f>AF483</f>
        <v>154440.95999999996</v>
      </c>
      <c r="AG489" s="437"/>
      <c r="AH489" s="215">
        <f>AF489-Z489</f>
        <v>-28717.895287866937</v>
      </c>
      <c r="AI489" s="745">
        <f>AH489/Z489</f>
        <v>-0.15679228417720578</v>
      </c>
      <c r="AJ489" s="434" t="s">
        <v>247</v>
      </c>
      <c r="AK489" s="435">
        <f>IF($AL$406=0,0,AL489/$AL$406)</f>
        <v>1.1465524822115476E-2</v>
      </c>
      <c r="AL489" s="438">
        <f>AL483</f>
        <v>133216.01999999839</v>
      </c>
      <c r="AM489" s="439"/>
      <c r="AN489" s="440">
        <f>AF489-AL489</f>
        <v>21224.940000001574</v>
      </c>
      <c r="AO489" s="441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240"/>
      <c r="U490" s="1240"/>
      <c r="V490" s="442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3"/>
      <c r="AN490" s="79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1236"/>
      <c r="X491" s="1233"/>
      <c r="Y491" s="1237"/>
      <c r="Z491" s="87">
        <v>57900</v>
      </c>
      <c r="AA491" s="1233"/>
      <c r="AB491" s="1237">
        <f t="shared" ref="AB491:AB497" si="81">IF(AC491=0,0,AC491/(G$13+G$97))</f>
        <v>0</v>
      </c>
      <c r="AC491" s="87">
        <v>0</v>
      </c>
      <c r="AD491" s="1233"/>
      <c r="AE491" s="1237"/>
      <c r="AF491" s="87">
        <v>53900</v>
      </c>
      <c r="AG491" s="1233"/>
      <c r="AH491" s="1234">
        <f t="shared" ref="AH491:AH498" si="82">AF491-Z491</f>
        <v>-4000</v>
      </c>
      <c r="AI491" s="97">
        <f t="shared" ref="AI491:AI497" si="83">IF(Z491=0,0,AH491/Z491)</f>
        <v>-6.9084628670120898E-2</v>
      </c>
      <c r="AJ491" s="1233"/>
      <c r="AK491" s="1233"/>
      <c r="AL491" s="87">
        <v>62910</v>
      </c>
      <c r="AM491" s="402"/>
      <c r="AN491" s="1234">
        <f t="shared" ref="AN491:AN498" si="84">AF491-AL491</f>
        <v>-9010</v>
      </c>
      <c r="AO491" s="212">
        <f t="shared" ref="AO491:AO498" si="85">IF(AL491=0,0,AN491/AL491)</f>
        <v>-0.14322047369257671</v>
      </c>
      <c r="AP491" s="79"/>
      <c r="AQ491" s="752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234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5"/>
      <c r="AN492" s="1234">
        <f t="shared" si="84"/>
        <v>0</v>
      </c>
      <c r="AO492" s="212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234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5"/>
      <c r="AN493" s="1234">
        <f t="shared" si="84"/>
        <v>0</v>
      </c>
      <c r="AO493" s="212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234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5"/>
      <c r="AN494" s="1234">
        <f t="shared" si="84"/>
        <v>0</v>
      </c>
      <c r="AO494" s="212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25"/>
      <c r="X495" s="25"/>
      <c r="Y495" s="25"/>
      <c r="Z495" s="1234">
        <v>0</v>
      </c>
      <c r="AA495" s="1233"/>
      <c r="AB495" s="1233">
        <f t="shared" si="81"/>
        <v>0</v>
      </c>
      <c r="AC495" s="1234">
        <v>0</v>
      </c>
      <c r="AD495" s="405"/>
      <c r="AE495" s="1237"/>
      <c r="AF495" s="87">
        <v>0</v>
      </c>
      <c r="AG495" s="399"/>
      <c r="AH495" s="1234">
        <f t="shared" si="82"/>
        <v>0</v>
      </c>
      <c r="AI495" s="1235">
        <f t="shared" si="83"/>
        <v>0</v>
      </c>
      <c r="AJ495" s="405"/>
      <c r="AK495" s="1233"/>
      <c r="AL495" s="87">
        <v>0</v>
      </c>
      <c r="AM495" s="445"/>
      <c r="AN495" s="1234">
        <f t="shared" si="84"/>
        <v>0</v>
      </c>
      <c r="AO495" s="212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2936</v>
      </c>
      <c r="W496" s="25"/>
      <c r="X496" s="25"/>
      <c r="Y496" s="25"/>
      <c r="Z496" s="1234">
        <v>-7812.4590163934427</v>
      </c>
      <c r="AA496" s="1233"/>
      <c r="AB496" s="1233">
        <f>IF(AC496=0,0,AC496/(G$13+G$97))</f>
        <v>0</v>
      </c>
      <c r="AC496" s="1234">
        <v>0</v>
      </c>
      <c r="AD496" s="405"/>
      <c r="AE496" s="1237"/>
      <c r="AF496" s="87">
        <v>-7812.46</v>
      </c>
      <c r="AG496" s="399"/>
      <c r="AH496" s="1234">
        <f t="shared" si="82"/>
        <v>-9.8360655738360947E-4</v>
      </c>
      <c r="AI496" s="1235">
        <f t="shared" si="83"/>
        <v>1.2590229981618301E-7</v>
      </c>
      <c r="AJ496" s="405"/>
      <c r="AK496" s="1233"/>
      <c r="AL496" s="87">
        <v>-12619.57</v>
      </c>
      <c r="AM496" s="445"/>
      <c r="AN496" s="1234">
        <f t="shared" si="84"/>
        <v>4807.1099999999997</v>
      </c>
      <c r="AO496" s="212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25"/>
      <c r="X497" s="79"/>
      <c r="Y497" s="25"/>
      <c r="Z497" s="1234">
        <v>0</v>
      </c>
      <c r="AA497" s="1233"/>
      <c r="AB497" s="1233">
        <f t="shared" si="81"/>
        <v>0</v>
      </c>
      <c r="AC497" s="1234">
        <v>0</v>
      </c>
      <c r="AD497" s="405"/>
      <c r="AE497" s="1237">
        <f>IF(AF497=0,0,AF497/(J$13+J$97))</f>
        <v>0</v>
      </c>
      <c r="AF497" s="87">
        <v>0</v>
      </c>
      <c r="AG497" s="399"/>
      <c r="AH497" s="1234">
        <f t="shared" si="82"/>
        <v>0</v>
      </c>
      <c r="AI497" s="1235">
        <f t="shared" si="83"/>
        <v>0</v>
      </c>
      <c r="AJ497" s="405"/>
      <c r="AK497" s="1233">
        <f>AL497/(O$13+O$97)</f>
        <v>0</v>
      </c>
      <c r="AL497" s="87">
        <v>0</v>
      </c>
      <c r="AM497" s="445"/>
      <c r="AN497" s="1234">
        <f t="shared" si="84"/>
        <v>0</v>
      </c>
      <c r="AO497" s="212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1.1036879243095522E-2</v>
      </c>
      <c r="Z498" s="428">
        <f>Z489-Z491-Z492-Z493-Z497-Z494-Z495-Z496-Z497</f>
        <v>133071.31430426033</v>
      </c>
      <c r="AA498" s="426" t="s">
        <v>247</v>
      </c>
      <c r="AB498" s="427" t="e">
        <f>AC498/AC406</f>
        <v>#DIV/0!</v>
      </c>
      <c r="AC498" s="428">
        <f>AC489-AC491-AC492-AC493-AC497-AC494-AC495</f>
        <v>0</v>
      </c>
      <c r="AD498" s="426" t="s">
        <v>247</v>
      </c>
      <c r="AE498" s="427">
        <f>AF498/AF406</f>
        <v>1.0908557840341645E-2</v>
      </c>
      <c r="AF498" s="215">
        <f>AF489-AF491-AF492-AF493-AF497-AF494-AF495-AF496-AF497</f>
        <v>108353.41999999997</v>
      </c>
      <c r="AG498" s="429"/>
      <c r="AH498" s="215">
        <f t="shared" si="82"/>
        <v>-24717.894304260364</v>
      </c>
      <c r="AI498" s="745">
        <f>AH498/Z498</f>
        <v>-0.18574923103069563</v>
      </c>
      <c r="AJ498" s="430" t="s">
        <v>247</v>
      </c>
      <c r="AK498" s="427">
        <f>IF($AL$406=0,0,AL498/$AL$406)</f>
        <v>7.137170218218229E-3</v>
      </c>
      <c r="AL498" s="215">
        <f>AL489-AL491-AL492-AL493-AL497-AL494-AL495-AL496-AL497</f>
        <v>82925.589999998396</v>
      </c>
      <c r="AM498" s="216"/>
      <c r="AN498" s="215">
        <f t="shared" si="84"/>
        <v>25427.830000001573</v>
      </c>
      <c r="AO498" s="446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/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/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240"/>
      <c r="U505" s="1240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240"/>
      <c r="U506" s="1240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240"/>
      <c r="U507" s="1240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240"/>
      <c r="U508" s="1240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240"/>
      <c r="U509" s="1240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240"/>
      <c r="U510" s="1240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240"/>
      <c r="U511" s="1240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240"/>
      <c r="U512" s="1240"/>
      <c r="V512" s="79"/>
      <c r="W512" s="1240"/>
      <c r="X512" s="1240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240"/>
      <c r="U513" s="1240"/>
      <c r="V513" s="79"/>
      <c r="W513" s="1240"/>
      <c r="X513" s="1240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240"/>
      <c r="U514" s="1240"/>
      <c r="V514" s="79"/>
      <c r="W514" s="1240"/>
      <c r="X514" s="1240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240"/>
      <c r="U515" s="1240"/>
      <c r="V515" s="79"/>
      <c r="W515" s="1240"/>
      <c r="X515" s="1240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240"/>
      <c r="U516" s="1240"/>
      <c r="V516" s="79"/>
      <c r="W516" s="1240"/>
      <c r="X516" s="1240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240"/>
      <c r="U517" s="1240"/>
      <c r="V517" s="1240"/>
      <c r="W517" s="1240"/>
      <c r="X517" s="1240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45"/>
      <c r="D518" s="1240"/>
      <c r="E518" s="1240"/>
      <c r="F518" s="1246"/>
      <c r="G518" s="1240"/>
      <c r="H518" s="1240"/>
      <c r="I518" s="1246"/>
      <c r="J518" s="1240"/>
      <c r="K518" s="1240"/>
      <c r="L518" s="1240"/>
      <c r="M518" s="1246"/>
      <c r="N518" s="1240"/>
      <c r="O518" s="1240"/>
      <c r="P518" s="1240"/>
      <c r="Q518" s="1246"/>
      <c r="R518" s="1246"/>
      <c r="S518" s="1246"/>
      <c r="T518" s="1240"/>
      <c r="U518" s="1240"/>
      <c r="V518" s="1240"/>
      <c r="W518" s="1240"/>
      <c r="X518" s="1240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47"/>
      <c r="D519" s="1240"/>
      <c r="E519" s="1240"/>
      <c r="F519" s="1246"/>
      <c r="G519" s="1240"/>
      <c r="H519" s="1240"/>
      <c r="I519" s="1246"/>
      <c r="J519" s="1240"/>
      <c r="K519" s="1240"/>
      <c r="L519" s="1240"/>
      <c r="M519" s="1246"/>
      <c r="N519" s="1240"/>
      <c r="O519" s="1240"/>
      <c r="P519" s="1240"/>
      <c r="Q519" s="1246"/>
      <c r="R519" s="1246"/>
      <c r="S519" s="1246"/>
      <c r="T519" s="1240"/>
      <c r="U519" s="1240"/>
      <c r="V519" s="1240"/>
      <c r="W519" s="1240"/>
      <c r="X519" s="1240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40"/>
      <c r="D520" s="1240"/>
      <c r="E520" s="1240"/>
      <c r="F520" s="1246"/>
      <c r="G520" s="1240"/>
      <c r="H520" s="1240"/>
      <c r="I520" s="1246"/>
      <c r="J520" s="1240"/>
      <c r="K520" s="1240"/>
      <c r="L520" s="1240"/>
      <c r="M520" s="1246"/>
      <c r="N520" s="1240"/>
      <c r="O520" s="1240"/>
      <c r="P520" s="1240"/>
      <c r="Q520" s="1246"/>
      <c r="R520" s="1246"/>
      <c r="S520" s="1246"/>
      <c r="T520" s="1240"/>
      <c r="U520" s="1240"/>
      <c r="V520" s="1240"/>
      <c r="W520" s="1240"/>
      <c r="X520" s="1240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40"/>
      <c r="D521" s="1240"/>
      <c r="E521" s="1240"/>
      <c r="F521" s="1240"/>
      <c r="G521" s="1240"/>
      <c r="H521" s="1240"/>
      <c r="I521" s="1240"/>
      <c r="J521" s="1245"/>
      <c r="K521" s="1245"/>
      <c r="L521" s="1245"/>
      <c r="M521" s="1246"/>
      <c r="N521" s="1240"/>
      <c r="O521" s="1240"/>
      <c r="P521" s="1240"/>
      <c r="Q521" s="1240"/>
      <c r="R521" s="1240"/>
      <c r="S521" s="1246"/>
      <c r="T521" s="1240"/>
      <c r="U521" s="1240"/>
      <c r="V521" s="1240"/>
      <c r="W521" s="1240"/>
      <c r="X521" s="1240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240"/>
      <c r="D522" s="1240"/>
      <c r="E522" s="1240"/>
      <c r="F522" s="1240"/>
      <c r="G522" s="1240"/>
      <c r="H522" s="1240"/>
      <c r="I522" s="1240"/>
      <c r="J522" s="1240"/>
      <c r="K522" s="1240"/>
      <c r="L522" s="1240"/>
      <c r="M522" s="1246"/>
      <c r="N522" s="1240"/>
      <c r="O522" s="1240"/>
      <c r="P522" s="1240"/>
      <c r="Q522" s="1240"/>
      <c r="R522" s="1240"/>
      <c r="S522" s="1246"/>
      <c r="T522" s="1240"/>
      <c r="U522" s="1240"/>
      <c r="V522" s="1240"/>
      <c r="W522" s="1240"/>
      <c r="X522" s="1240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240"/>
      <c r="D523" s="1240"/>
      <c r="E523" s="1240"/>
      <c r="F523" s="1240"/>
      <c r="G523" s="1240"/>
      <c r="H523" s="1240"/>
      <c r="I523" s="1240"/>
      <c r="J523" s="1240"/>
      <c r="K523" s="1240"/>
      <c r="L523" s="1240"/>
      <c r="M523" s="1246"/>
      <c r="N523" s="1240"/>
      <c r="O523" s="1240"/>
      <c r="P523" s="1240"/>
      <c r="Q523" s="1240"/>
      <c r="R523" s="1240"/>
      <c r="S523" s="1246"/>
      <c r="T523" s="1240"/>
      <c r="U523" s="1240"/>
      <c r="V523" s="1240"/>
      <c r="W523" s="1240"/>
      <c r="X523" s="1240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240"/>
      <c r="D524" s="1240"/>
      <c r="E524" s="1240"/>
      <c r="F524" s="1240"/>
      <c r="G524" s="1240"/>
      <c r="H524" s="1240"/>
      <c r="I524" s="1240"/>
      <c r="J524" s="1240"/>
      <c r="K524" s="1240"/>
      <c r="L524" s="1240"/>
      <c r="M524" s="1246"/>
      <c r="N524" s="1240"/>
      <c r="O524" s="1240"/>
      <c r="P524" s="1240"/>
      <c r="Q524" s="1240"/>
      <c r="R524" s="1240"/>
      <c r="S524" s="1246"/>
      <c r="T524" s="1240"/>
      <c r="U524" s="1240"/>
      <c r="V524" s="1240"/>
      <c r="W524" s="1240"/>
      <c r="X524" s="1240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240"/>
      <c r="D525" s="1240"/>
      <c r="E525" s="1240"/>
      <c r="F525" s="1240"/>
      <c r="G525" s="1240"/>
      <c r="H525" s="1240"/>
      <c r="I525" s="1240"/>
      <c r="J525" s="1240"/>
      <c r="K525" s="1240"/>
      <c r="L525" s="1240"/>
      <c r="M525" s="1246"/>
      <c r="N525" s="1240"/>
      <c r="O525" s="1240"/>
      <c r="P525" s="1240"/>
      <c r="Q525" s="1240"/>
      <c r="R525" s="1240"/>
      <c r="S525" s="1240"/>
      <c r="T525" s="1240"/>
      <c r="U525" s="1240"/>
      <c r="V525" s="1240"/>
      <c r="W525" s="1240"/>
      <c r="X525" s="1240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240"/>
      <c r="D526" s="1240"/>
      <c r="E526" s="1240"/>
      <c r="F526" s="1240"/>
      <c r="G526" s="1240"/>
      <c r="H526" s="1240"/>
      <c r="I526" s="1240"/>
      <c r="J526" s="1245"/>
      <c r="K526" s="1245"/>
      <c r="L526" s="1245"/>
      <c r="M526" s="1248"/>
      <c r="N526" s="1245"/>
      <c r="O526" s="1245"/>
      <c r="P526" s="1245"/>
      <c r="Q526" s="1240"/>
      <c r="R526" s="1240"/>
      <c r="S526" s="1245"/>
      <c r="T526" s="1240"/>
      <c r="U526" s="1240"/>
      <c r="V526" s="1240"/>
      <c r="W526" s="1240"/>
      <c r="X526" s="1240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240"/>
      <c r="D527" s="1240"/>
      <c r="E527" s="1240"/>
      <c r="F527" s="1240"/>
      <c r="G527" s="1240"/>
      <c r="H527" s="1240"/>
      <c r="I527" s="1240"/>
      <c r="J527" s="1240"/>
      <c r="K527" s="1240"/>
      <c r="L527" s="1240"/>
      <c r="M527" s="1240"/>
      <c r="N527" s="1240"/>
      <c r="O527" s="1240"/>
      <c r="P527" s="1240"/>
      <c r="Q527" s="1240"/>
      <c r="R527" s="1240"/>
      <c r="S527" s="1240"/>
      <c r="T527" s="1240"/>
      <c r="U527" s="1240"/>
      <c r="V527" s="1240"/>
      <c r="W527" s="1240"/>
      <c r="X527" s="1240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240"/>
      <c r="D528" s="1240"/>
      <c r="E528" s="1240"/>
      <c r="F528" s="1240"/>
      <c r="G528" s="1240"/>
      <c r="H528" s="1240"/>
      <c r="I528" s="1240"/>
      <c r="J528" s="1240"/>
      <c r="K528" s="1240"/>
      <c r="L528" s="1240"/>
      <c r="M528" s="1240"/>
      <c r="N528" s="1240"/>
      <c r="O528" s="1240"/>
      <c r="P528" s="1240"/>
      <c r="Q528" s="1240"/>
      <c r="R528" s="1240"/>
      <c r="S528" s="1240"/>
      <c r="T528" s="1240"/>
      <c r="U528" s="1240"/>
      <c r="V528" s="1240"/>
      <c r="W528" s="1240"/>
      <c r="X528" s="1240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240"/>
      <c r="D529" s="1240"/>
      <c r="E529" s="1240"/>
      <c r="F529" s="1240"/>
      <c r="G529" s="1240"/>
      <c r="H529" s="1240"/>
      <c r="I529" s="1240"/>
      <c r="J529" s="1240"/>
      <c r="K529" s="1240"/>
      <c r="L529" s="1240"/>
      <c r="M529" s="1240"/>
      <c r="N529" s="1240"/>
      <c r="O529" s="1240"/>
      <c r="P529" s="1240"/>
      <c r="Q529" s="1240"/>
      <c r="R529" s="1240"/>
      <c r="S529" s="1240"/>
      <c r="T529" s="1240"/>
      <c r="U529" s="1240"/>
      <c r="V529" s="1240"/>
      <c r="W529" s="1240"/>
      <c r="X529" s="1240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249"/>
      <c r="D530" s="1250"/>
      <c r="E530" s="1250"/>
      <c r="F530" s="1250"/>
      <c r="G530" s="1250"/>
      <c r="H530" s="1250"/>
      <c r="I530" s="1250"/>
      <c r="J530" s="1250"/>
      <c r="K530" s="1250"/>
      <c r="L530" s="1250"/>
      <c r="M530" s="1250"/>
      <c r="N530" s="1250"/>
      <c r="O530" s="1250"/>
      <c r="P530" s="1250"/>
      <c r="Q530" s="1250"/>
      <c r="R530" s="1250"/>
      <c r="S530" s="1250"/>
      <c r="T530" s="1240"/>
      <c r="U530" s="1240"/>
      <c r="V530" s="1240"/>
      <c r="W530" s="1240"/>
      <c r="X530" s="1240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240"/>
      <c r="D531" s="1240"/>
      <c r="E531" s="1240"/>
      <c r="F531" s="1240"/>
      <c r="G531" s="1240"/>
      <c r="H531" s="1240"/>
      <c r="I531" s="1240"/>
      <c r="J531" s="1240"/>
      <c r="K531" s="1240"/>
      <c r="L531" s="1240"/>
      <c r="M531" s="1240"/>
      <c r="N531" s="1240"/>
      <c r="O531" s="1240"/>
      <c r="P531" s="1240"/>
      <c r="Q531" s="1251"/>
      <c r="R531" s="1240"/>
      <c r="S531" s="1240"/>
      <c r="T531" s="1240"/>
      <c r="U531" s="1240"/>
      <c r="V531" s="1240"/>
      <c r="W531" s="1240"/>
      <c r="X531" s="1240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240"/>
      <c r="D532" s="1240"/>
      <c r="E532" s="1240"/>
      <c r="F532" s="1240"/>
      <c r="G532" s="1240"/>
      <c r="H532" s="1240"/>
      <c r="I532" s="1240"/>
      <c r="J532" s="1240"/>
      <c r="K532" s="1240"/>
      <c r="L532" s="1252"/>
      <c r="M532" s="1253"/>
      <c r="N532" s="1253"/>
      <c r="O532" s="1240"/>
      <c r="P532" s="1252"/>
      <c r="Q532" s="1253"/>
      <c r="R532" s="1253"/>
      <c r="S532" s="1252"/>
      <c r="T532" s="1240"/>
      <c r="U532" s="1240"/>
      <c r="V532" s="1240"/>
      <c r="W532" s="1240"/>
      <c r="X532" s="1240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240"/>
      <c r="D533" s="1240"/>
      <c r="E533" s="1252"/>
      <c r="F533" s="1254"/>
      <c r="G533" s="1240"/>
      <c r="H533" s="1252"/>
      <c r="I533" s="1254"/>
      <c r="J533" s="1253"/>
      <c r="K533" s="1245"/>
      <c r="L533" s="1252"/>
      <c r="M533" s="1253"/>
      <c r="N533" s="1253"/>
      <c r="O533" s="1245"/>
      <c r="P533" s="1252"/>
      <c r="Q533" s="1253"/>
      <c r="R533" s="1253"/>
      <c r="S533" s="1252"/>
      <c r="T533" s="1240"/>
      <c r="U533" s="1240"/>
      <c r="V533" s="1240"/>
      <c r="W533" s="1240"/>
      <c r="X533" s="1240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240"/>
      <c r="D534" s="1255"/>
      <c r="E534" s="1254"/>
      <c r="F534" s="1254"/>
      <c r="G534" s="1255"/>
      <c r="H534" s="1254"/>
      <c r="I534" s="1254"/>
      <c r="J534" s="1254"/>
      <c r="K534" s="1254"/>
      <c r="L534" s="1254"/>
      <c r="M534" s="1254"/>
      <c r="N534" s="1254"/>
      <c r="O534" s="1254"/>
      <c r="P534" s="1254"/>
      <c r="Q534" s="1254"/>
      <c r="R534" s="1254"/>
      <c r="S534" s="1254"/>
      <c r="T534" s="1240"/>
      <c r="U534" s="1240"/>
      <c r="V534" s="1240"/>
      <c r="W534" s="1240"/>
      <c r="X534" s="1240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45"/>
      <c r="D535" s="1240"/>
      <c r="E535" s="1240"/>
      <c r="F535" s="1240"/>
      <c r="G535" s="1240"/>
      <c r="H535" s="1240"/>
      <c r="I535" s="1240"/>
      <c r="J535" s="1240"/>
      <c r="K535" s="1240"/>
      <c r="L535" s="1240"/>
      <c r="M535" s="1240"/>
      <c r="N535" s="1240"/>
      <c r="O535" s="1240"/>
      <c r="P535" s="1240"/>
      <c r="Q535" s="1240"/>
      <c r="R535" s="1240"/>
      <c r="S535" s="1240"/>
      <c r="T535" s="1240"/>
      <c r="U535" s="1240"/>
      <c r="V535" s="1240"/>
      <c r="W535" s="1240"/>
      <c r="X535" s="1240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240"/>
      <c r="D536" s="1240"/>
      <c r="E536" s="1240"/>
      <c r="F536" s="1240"/>
      <c r="G536" s="1240"/>
      <c r="H536" s="1240"/>
      <c r="I536" s="1240"/>
      <c r="J536" s="1240"/>
      <c r="K536" s="1240"/>
      <c r="L536" s="1240"/>
      <c r="M536" s="1240"/>
      <c r="N536" s="1240"/>
      <c r="O536" s="1240"/>
      <c r="P536" s="1240"/>
      <c r="Q536" s="1240"/>
      <c r="R536" s="1240"/>
      <c r="S536" s="1240"/>
      <c r="T536" s="1240"/>
      <c r="U536" s="1240"/>
      <c r="V536" s="1240"/>
      <c r="W536" s="1240"/>
      <c r="X536" s="1240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40"/>
      <c r="D537" s="1240"/>
      <c r="E537" s="1246"/>
      <c r="F537" s="1256"/>
      <c r="G537" s="1240"/>
      <c r="H537" s="1246"/>
      <c r="I537" s="1256"/>
      <c r="J537" s="1256"/>
      <c r="K537" s="1246"/>
      <c r="L537" s="1256"/>
      <c r="M537" s="1246"/>
      <c r="N537" s="1256"/>
      <c r="O537" s="1246"/>
      <c r="P537" s="1256"/>
      <c r="Q537" s="1246"/>
      <c r="R537" s="1246"/>
      <c r="S537" s="1246"/>
      <c r="T537" s="1240"/>
      <c r="U537" s="1240"/>
      <c r="V537" s="1240"/>
      <c r="W537" s="1240"/>
      <c r="X537" s="1240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240"/>
      <c r="D538" s="1240"/>
      <c r="E538" s="1246"/>
      <c r="F538" s="1256"/>
      <c r="G538" s="1240"/>
      <c r="H538" s="1246"/>
      <c r="I538" s="1256"/>
      <c r="J538" s="1256"/>
      <c r="K538" s="1246"/>
      <c r="L538" s="1256"/>
      <c r="M538" s="1246"/>
      <c r="N538" s="1256"/>
      <c r="O538" s="1246"/>
      <c r="P538" s="1256"/>
      <c r="Q538" s="1246"/>
      <c r="R538" s="1246"/>
      <c r="S538" s="1246"/>
      <c r="T538" s="1240"/>
      <c r="U538" s="1240"/>
      <c r="V538" s="1240"/>
      <c r="W538" s="1240"/>
      <c r="X538" s="1240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240"/>
      <c r="D539" s="1240"/>
      <c r="E539" s="1246"/>
      <c r="F539" s="1256"/>
      <c r="G539" s="1240"/>
      <c r="H539" s="1246"/>
      <c r="I539" s="1256"/>
      <c r="J539" s="1256"/>
      <c r="K539" s="1246"/>
      <c r="L539" s="1256"/>
      <c r="M539" s="1246"/>
      <c r="N539" s="1256"/>
      <c r="O539" s="1246"/>
      <c r="P539" s="1256"/>
      <c r="Q539" s="1246"/>
      <c r="R539" s="1246"/>
      <c r="S539" s="1246"/>
      <c r="T539" s="1240"/>
      <c r="U539" s="1240"/>
      <c r="V539" s="1240"/>
      <c r="W539" s="1240"/>
      <c r="X539" s="1240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240"/>
      <c r="D540" s="1240"/>
      <c r="E540" s="1246"/>
      <c r="F540" s="1256"/>
      <c r="G540" s="1240"/>
      <c r="H540" s="1246"/>
      <c r="I540" s="1256"/>
      <c r="J540" s="1256"/>
      <c r="K540" s="1246"/>
      <c r="L540" s="1256"/>
      <c r="M540" s="1246"/>
      <c r="N540" s="1256"/>
      <c r="O540" s="1246"/>
      <c r="P540" s="1256"/>
      <c r="Q540" s="1246"/>
      <c r="R540" s="1246"/>
      <c r="S540" s="1246"/>
      <c r="T540" s="1240"/>
      <c r="U540" s="1240"/>
      <c r="V540" s="1240"/>
      <c r="W540" s="1240"/>
      <c r="X540" s="1240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240"/>
      <c r="D541" s="1240"/>
      <c r="E541" s="1246"/>
      <c r="F541" s="1256"/>
      <c r="G541" s="1240"/>
      <c r="H541" s="1246"/>
      <c r="I541" s="1256"/>
      <c r="J541" s="1256"/>
      <c r="K541" s="1246"/>
      <c r="L541" s="1256"/>
      <c r="M541" s="1246"/>
      <c r="N541" s="1256"/>
      <c r="O541" s="1246"/>
      <c r="P541" s="1256"/>
      <c r="Q541" s="1246"/>
      <c r="R541" s="1246"/>
      <c r="S541" s="1240"/>
      <c r="T541" s="1240"/>
      <c r="U541" s="1240"/>
      <c r="V541" s="1240"/>
      <c r="W541" s="1240"/>
      <c r="X541" s="1240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240"/>
      <c r="D542" s="1240"/>
      <c r="E542" s="1246"/>
      <c r="F542" s="1256"/>
      <c r="G542" s="1240"/>
      <c r="H542" s="1246"/>
      <c r="I542" s="1256"/>
      <c r="J542" s="1256"/>
      <c r="K542" s="1246"/>
      <c r="L542" s="1256"/>
      <c r="M542" s="1246"/>
      <c r="N542" s="1256"/>
      <c r="O542" s="1246"/>
      <c r="P542" s="1256"/>
      <c r="Q542" s="1246"/>
      <c r="R542" s="1246"/>
      <c r="S542" s="1246"/>
      <c r="T542" s="1240"/>
      <c r="U542" s="1240"/>
      <c r="V542" s="1240"/>
      <c r="W542" s="1240"/>
      <c r="X542" s="1240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240"/>
      <c r="D543" s="1240"/>
      <c r="E543" s="1246"/>
      <c r="F543" s="1257"/>
      <c r="G543" s="1240"/>
      <c r="H543" s="1246"/>
      <c r="I543" s="1257"/>
      <c r="J543" s="1256"/>
      <c r="K543" s="1246"/>
      <c r="L543" s="1256"/>
      <c r="M543" s="1246"/>
      <c r="N543" s="1256"/>
      <c r="O543" s="1246"/>
      <c r="P543" s="1240"/>
      <c r="Q543" s="1240"/>
      <c r="R543" s="1246"/>
      <c r="S543" s="1246"/>
      <c r="T543" s="1240"/>
      <c r="U543" s="1240"/>
      <c r="V543" s="1240"/>
      <c r="W543" s="1240"/>
      <c r="X543" s="1240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45"/>
      <c r="D544" s="1245"/>
      <c r="E544" s="1248"/>
      <c r="F544" s="1258"/>
      <c r="G544" s="1245"/>
      <c r="H544" s="1248"/>
      <c r="I544" s="1258"/>
      <c r="J544" s="1258"/>
      <c r="K544" s="1248"/>
      <c r="L544" s="1258"/>
      <c r="M544" s="1248"/>
      <c r="N544" s="1258"/>
      <c r="O544" s="1248"/>
      <c r="P544" s="1258"/>
      <c r="Q544" s="1248"/>
      <c r="R544" s="1248"/>
      <c r="S544" s="1245"/>
      <c r="T544" s="1240"/>
      <c r="U544" s="1240"/>
      <c r="V544" s="1240"/>
      <c r="W544" s="1240"/>
      <c r="X544" s="1240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240"/>
      <c r="D545" s="1240"/>
      <c r="E545" s="1246"/>
      <c r="F545" s="1240"/>
      <c r="G545" s="1240"/>
      <c r="H545" s="1246"/>
      <c r="I545" s="1240"/>
      <c r="J545" s="1256"/>
      <c r="K545" s="1246"/>
      <c r="L545" s="1256"/>
      <c r="M545" s="1246"/>
      <c r="N545" s="1256"/>
      <c r="O545" s="1246"/>
      <c r="P545" s="1245"/>
      <c r="Q545" s="1258"/>
      <c r="R545" s="1258"/>
      <c r="S545" s="1240"/>
      <c r="T545" s="1240"/>
      <c r="U545" s="1240"/>
      <c r="V545" s="1240"/>
      <c r="W545" s="1240"/>
      <c r="X545" s="1240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40"/>
      <c r="D546" s="1240"/>
      <c r="E546" s="1246"/>
      <c r="F546" s="1240"/>
      <c r="G546" s="1240"/>
      <c r="H546" s="1246"/>
      <c r="I546" s="1240"/>
      <c r="J546" s="1256"/>
      <c r="K546" s="1246"/>
      <c r="L546" s="1256"/>
      <c r="M546" s="1246"/>
      <c r="N546" s="1256"/>
      <c r="O546" s="1246"/>
      <c r="P546" s="1240"/>
      <c r="Q546" s="1240"/>
      <c r="R546" s="1246"/>
      <c r="S546" s="1240"/>
      <c r="T546" s="1240"/>
      <c r="U546" s="1240"/>
      <c r="V546" s="1240"/>
      <c r="W546" s="1240"/>
      <c r="X546" s="1240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45"/>
      <c r="D547" s="1240"/>
      <c r="E547" s="1246"/>
      <c r="F547" s="1240"/>
      <c r="G547" s="1240"/>
      <c r="H547" s="1246"/>
      <c r="I547" s="1240"/>
      <c r="J547" s="1256"/>
      <c r="K547" s="1246"/>
      <c r="L547" s="1256"/>
      <c r="M547" s="1246"/>
      <c r="N547" s="1256"/>
      <c r="O547" s="1246"/>
      <c r="P547" s="1240"/>
      <c r="Q547" s="1240"/>
      <c r="R547" s="1246"/>
      <c r="S547" s="1240"/>
      <c r="T547" s="1240"/>
      <c r="U547" s="1240"/>
      <c r="V547" s="1240"/>
      <c r="W547" s="1240"/>
      <c r="X547" s="1240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240"/>
      <c r="D548" s="1240"/>
      <c r="E548" s="1240"/>
      <c r="F548" s="1240"/>
      <c r="G548" s="1240"/>
      <c r="H548" s="1240"/>
      <c r="I548" s="1240"/>
      <c r="J548" s="1240"/>
      <c r="K548" s="1240"/>
      <c r="L548" s="1240"/>
      <c r="M548" s="1240"/>
      <c r="N548" s="1240"/>
      <c r="O548" s="1240"/>
      <c r="P548" s="1240"/>
      <c r="Q548" s="1240"/>
      <c r="R548" s="1240"/>
      <c r="S548" s="1240"/>
      <c r="T548" s="1240"/>
      <c r="U548" s="1240"/>
      <c r="V548" s="1240"/>
      <c r="W548" s="1240"/>
      <c r="X548" s="1240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40"/>
      <c r="D549" s="1240"/>
      <c r="E549" s="1246"/>
      <c r="F549" s="1256"/>
      <c r="G549" s="1240"/>
      <c r="H549" s="1246"/>
      <c r="I549" s="1256"/>
      <c r="J549" s="1256"/>
      <c r="K549" s="1240"/>
      <c r="L549" s="1256"/>
      <c r="M549" s="1240"/>
      <c r="N549" s="1256"/>
      <c r="O549" s="1240"/>
      <c r="P549" s="1256"/>
      <c r="Q549" s="1246"/>
      <c r="R549" s="1246"/>
      <c r="S549" s="1240"/>
      <c r="T549" s="1240"/>
      <c r="U549" s="1240"/>
      <c r="V549" s="1240"/>
      <c r="W549" s="1240"/>
      <c r="X549" s="1240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240"/>
      <c r="D550" s="1240"/>
      <c r="E550" s="1246"/>
      <c r="F550" s="1257"/>
      <c r="G550" s="1240"/>
      <c r="H550" s="1246"/>
      <c r="I550" s="1257"/>
      <c r="J550" s="1256"/>
      <c r="K550" s="1246"/>
      <c r="L550" s="1256"/>
      <c r="M550" s="1246"/>
      <c r="N550" s="1256"/>
      <c r="O550" s="1246"/>
      <c r="P550" s="1240"/>
      <c r="Q550" s="1256"/>
      <c r="R550" s="1256"/>
      <c r="S550" s="1246"/>
      <c r="T550" s="1240"/>
      <c r="U550" s="1240"/>
      <c r="V550" s="1240"/>
      <c r="W550" s="1240"/>
      <c r="X550" s="1240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240"/>
      <c r="D551" s="1240"/>
      <c r="E551" s="1246"/>
      <c r="F551" s="1257"/>
      <c r="G551" s="1240"/>
      <c r="H551" s="1246"/>
      <c r="I551" s="1257"/>
      <c r="J551" s="1256"/>
      <c r="K551" s="1246"/>
      <c r="L551" s="1256"/>
      <c r="M551" s="1246"/>
      <c r="N551" s="1256"/>
      <c r="O551" s="1246"/>
      <c r="P551" s="1240"/>
      <c r="Q551" s="1240"/>
      <c r="R551" s="1246"/>
      <c r="S551" s="1246"/>
      <c r="T551" s="1240"/>
      <c r="U551" s="1240"/>
      <c r="V551" s="1240"/>
      <c r="W551" s="1240"/>
      <c r="X551" s="1240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240"/>
      <c r="D552" s="1240"/>
      <c r="E552" s="1246"/>
      <c r="F552" s="1256"/>
      <c r="G552" s="1240"/>
      <c r="H552" s="1246"/>
      <c r="I552" s="1256"/>
      <c r="J552" s="1256"/>
      <c r="K552" s="1246"/>
      <c r="L552" s="1256"/>
      <c r="M552" s="1246"/>
      <c r="N552" s="1256"/>
      <c r="O552" s="1246"/>
      <c r="P552" s="1240"/>
      <c r="Q552" s="1240"/>
      <c r="R552" s="1246"/>
      <c r="S552" s="1240"/>
      <c r="T552" s="1240"/>
      <c r="U552" s="1240"/>
      <c r="V552" s="1240"/>
      <c r="W552" s="1240"/>
      <c r="X552" s="1240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45"/>
      <c r="D553" s="1245"/>
      <c r="E553" s="1248"/>
      <c r="F553" s="1258"/>
      <c r="G553" s="1245"/>
      <c r="H553" s="1248"/>
      <c r="I553" s="1258"/>
      <c r="J553" s="1258"/>
      <c r="K553" s="1248"/>
      <c r="L553" s="1258"/>
      <c r="M553" s="1248"/>
      <c r="N553" s="1258"/>
      <c r="O553" s="1248"/>
      <c r="P553" s="1258"/>
      <c r="Q553" s="1245"/>
      <c r="R553" s="1248"/>
      <c r="S553" s="1245"/>
      <c r="T553" s="1240"/>
      <c r="U553" s="1240"/>
      <c r="V553" s="1240"/>
      <c r="W553" s="1240"/>
      <c r="X553" s="1240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240"/>
      <c r="D554" s="1240"/>
      <c r="E554" s="1240"/>
      <c r="F554" s="1240"/>
      <c r="G554" s="1240"/>
      <c r="H554" s="1240"/>
      <c r="I554" s="1240"/>
      <c r="J554" s="1240"/>
      <c r="K554" s="1240"/>
      <c r="L554" s="1240"/>
      <c r="M554" s="1240"/>
      <c r="N554" s="1240"/>
      <c r="O554" s="1240"/>
      <c r="P554" s="1245"/>
      <c r="Q554" s="1258"/>
      <c r="R554" s="1258"/>
      <c r="S554" s="1240"/>
      <c r="T554" s="1240"/>
      <c r="U554" s="1240"/>
      <c r="V554" s="1240"/>
      <c r="W554" s="1240"/>
      <c r="X554" s="1240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40"/>
      <c r="D555" s="1240"/>
      <c r="E555" s="1246"/>
      <c r="F555" s="1256"/>
      <c r="G555" s="1240"/>
      <c r="H555" s="1246"/>
      <c r="I555" s="1256"/>
      <c r="J555" s="1256"/>
      <c r="K555" s="1246"/>
      <c r="L555" s="1256"/>
      <c r="M555" s="1246"/>
      <c r="N555" s="1256"/>
      <c r="O555" s="1246"/>
      <c r="P555" s="1240"/>
      <c r="Q555" s="1240"/>
      <c r="R555" s="1246"/>
      <c r="S555" s="1240"/>
      <c r="T555" s="1240"/>
      <c r="U555" s="1240"/>
      <c r="V555" s="1240"/>
      <c r="W555" s="1240"/>
      <c r="X555" s="1240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45"/>
      <c r="D556" s="1240"/>
      <c r="E556" s="1246"/>
      <c r="F556" s="1256"/>
      <c r="G556" s="1240"/>
      <c r="H556" s="1246"/>
      <c r="I556" s="1256"/>
      <c r="J556" s="1256"/>
      <c r="K556" s="1246"/>
      <c r="L556" s="1256"/>
      <c r="M556" s="1246"/>
      <c r="N556" s="1256"/>
      <c r="O556" s="1246"/>
      <c r="P556" s="1240"/>
      <c r="Q556" s="1240"/>
      <c r="R556" s="1246"/>
      <c r="S556" s="1240"/>
      <c r="T556" s="1240"/>
      <c r="U556" s="1240"/>
      <c r="V556" s="1240"/>
      <c r="W556" s="1240"/>
      <c r="X556" s="1240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240"/>
      <c r="D557" s="1240"/>
      <c r="E557" s="1246"/>
      <c r="F557" s="1256"/>
      <c r="G557" s="1240"/>
      <c r="H557" s="1246"/>
      <c r="I557" s="1256"/>
      <c r="J557" s="1256"/>
      <c r="K557" s="1246"/>
      <c r="L557" s="1256"/>
      <c r="M557" s="1246"/>
      <c r="N557" s="1256"/>
      <c r="O557" s="1246"/>
      <c r="P557" s="1240"/>
      <c r="Q557" s="1240"/>
      <c r="R557" s="1246"/>
      <c r="S557" s="1240"/>
      <c r="T557" s="1240"/>
      <c r="U557" s="1240"/>
      <c r="V557" s="1240"/>
      <c r="W557" s="1240"/>
      <c r="X557" s="1240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40"/>
      <c r="D558" s="1240"/>
      <c r="E558" s="1240"/>
      <c r="F558" s="1240"/>
      <c r="G558" s="1240"/>
      <c r="H558" s="1240"/>
      <c r="I558" s="1240"/>
      <c r="J558" s="1240"/>
      <c r="K558" s="1240"/>
      <c r="L558" s="1240"/>
      <c r="M558" s="1240"/>
      <c r="N558" s="1240"/>
      <c r="O558" s="1240"/>
      <c r="P558" s="1256"/>
      <c r="Q558" s="1246"/>
      <c r="R558" s="1240"/>
      <c r="S558" s="1246"/>
      <c r="T558" s="1240"/>
      <c r="U558" s="1240"/>
      <c r="V558" s="1240"/>
      <c r="W558" s="1240"/>
      <c r="X558" s="1240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240"/>
      <c r="D559" s="1240"/>
      <c r="E559" s="1240"/>
      <c r="F559" s="1240"/>
      <c r="G559" s="1240"/>
      <c r="H559" s="1240"/>
      <c r="I559" s="1240"/>
      <c r="J559" s="1240"/>
      <c r="K559" s="1240"/>
      <c r="L559" s="1240"/>
      <c r="M559" s="1240"/>
      <c r="N559" s="1240"/>
      <c r="O559" s="1240"/>
      <c r="P559" s="1256"/>
      <c r="Q559" s="1246"/>
      <c r="R559" s="1240"/>
      <c r="S559" s="1246"/>
      <c r="T559" s="1240"/>
      <c r="U559" s="1240"/>
      <c r="V559" s="1240"/>
      <c r="W559" s="1240"/>
      <c r="X559" s="1240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240"/>
      <c r="D560" s="1240"/>
      <c r="E560" s="1240"/>
      <c r="F560" s="1240"/>
      <c r="G560" s="1240"/>
      <c r="H560" s="1240"/>
      <c r="I560" s="1240"/>
      <c r="J560" s="1240"/>
      <c r="K560" s="1240"/>
      <c r="L560" s="1240"/>
      <c r="M560" s="1240"/>
      <c r="N560" s="1240"/>
      <c r="O560" s="1240"/>
      <c r="P560" s="1256"/>
      <c r="Q560" s="1246"/>
      <c r="R560" s="1240"/>
      <c r="S560" s="1246"/>
      <c r="T560" s="1240"/>
      <c r="U560" s="1240"/>
      <c r="V560" s="1240"/>
      <c r="W560" s="1240"/>
      <c r="X560" s="1240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240"/>
      <c r="D561" s="1240"/>
      <c r="E561" s="1240"/>
      <c r="F561" s="1240"/>
      <c r="G561" s="1240"/>
      <c r="H561" s="1240"/>
      <c r="I561" s="1240"/>
      <c r="J561" s="1240"/>
      <c r="K561" s="1240"/>
      <c r="L561" s="1240"/>
      <c r="M561" s="1240"/>
      <c r="N561" s="1240"/>
      <c r="O561" s="1240"/>
      <c r="P561" s="1256"/>
      <c r="Q561" s="1246"/>
      <c r="R561" s="1240"/>
      <c r="S561" s="1246"/>
      <c r="T561" s="1240"/>
      <c r="U561" s="1240"/>
      <c r="V561" s="1240"/>
      <c r="W561" s="1240"/>
      <c r="X561" s="1240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240"/>
      <c r="D562" s="1240"/>
      <c r="E562" s="1240"/>
      <c r="F562" s="1240"/>
      <c r="G562" s="1240"/>
      <c r="H562" s="1240"/>
      <c r="I562" s="1240"/>
      <c r="J562" s="1240"/>
      <c r="K562" s="1240"/>
      <c r="L562" s="1240"/>
      <c r="M562" s="1240"/>
      <c r="N562" s="1240"/>
      <c r="O562" s="1240"/>
      <c r="P562" s="1256"/>
      <c r="Q562" s="1246"/>
      <c r="R562" s="1240"/>
      <c r="S562" s="1246"/>
      <c r="T562" s="1240"/>
      <c r="U562" s="1240"/>
      <c r="V562" s="1240"/>
      <c r="W562" s="1240"/>
      <c r="X562" s="1240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240"/>
      <c r="D563" s="1240"/>
      <c r="E563" s="1240"/>
      <c r="F563" s="1240"/>
      <c r="G563" s="1240"/>
      <c r="H563" s="1240"/>
      <c r="I563" s="1240"/>
      <c r="J563" s="1240"/>
      <c r="K563" s="1240"/>
      <c r="L563" s="1240"/>
      <c r="M563" s="1240"/>
      <c r="N563" s="1240"/>
      <c r="O563" s="1240"/>
      <c r="P563" s="1256"/>
      <c r="Q563" s="1246"/>
      <c r="R563" s="1240"/>
      <c r="S563" s="1246"/>
      <c r="T563" s="1240"/>
      <c r="U563" s="1240"/>
      <c r="V563" s="1240"/>
      <c r="W563" s="1240"/>
      <c r="X563" s="1240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240"/>
      <c r="D564" s="1240"/>
      <c r="E564" s="1240"/>
      <c r="F564" s="1240"/>
      <c r="G564" s="1240"/>
      <c r="H564" s="1240"/>
      <c r="I564" s="1240"/>
      <c r="J564" s="1240"/>
      <c r="K564" s="1240"/>
      <c r="L564" s="1240"/>
      <c r="M564" s="1240"/>
      <c r="N564" s="1240"/>
      <c r="O564" s="1240"/>
      <c r="P564" s="1256"/>
      <c r="Q564" s="1246"/>
      <c r="R564" s="1240"/>
      <c r="S564" s="1246"/>
      <c r="T564" s="1240"/>
      <c r="U564" s="1240"/>
      <c r="V564" s="1240"/>
      <c r="W564" s="1240"/>
      <c r="X564" s="1240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240"/>
      <c r="D565" s="1240"/>
      <c r="E565" s="1240"/>
      <c r="F565" s="1240"/>
      <c r="G565" s="1240"/>
      <c r="H565" s="1240"/>
      <c r="I565" s="1240"/>
      <c r="J565" s="1240"/>
      <c r="K565" s="1240"/>
      <c r="L565" s="1240"/>
      <c r="M565" s="1240"/>
      <c r="N565" s="1240"/>
      <c r="O565" s="1240"/>
      <c r="P565" s="1256"/>
      <c r="Q565" s="1246"/>
      <c r="R565" s="1240"/>
      <c r="S565" s="1246"/>
      <c r="T565" s="1240"/>
      <c r="U565" s="1240"/>
      <c r="V565" s="1240"/>
      <c r="W565" s="1240"/>
      <c r="X565" s="1240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45"/>
      <c r="D566" s="1245"/>
      <c r="E566" s="1240"/>
      <c r="F566" s="1240"/>
      <c r="G566" s="1245"/>
      <c r="H566" s="1240"/>
      <c r="I566" s="1240"/>
      <c r="J566" s="1240"/>
      <c r="K566" s="1240"/>
      <c r="L566" s="1240"/>
      <c r="M566" s="1240"/>
      <c r="N566" s="1240"/>
      <c r="O566" s="1240"/>
      <c r="P566" s="1258"/>
      <c r="Q566" s="1248"/>
      <c r="R566" s="1240"/>
      <c r="S566" s="1248"/>
      <c r="T566" s="1240"/>
      <c r="U566" s="1240"/>
      <c r="V566" s="1240"/>
      <c r="W566" s="1240"/>
      <c r="X566" s="1240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240"/>
      <c r="D567" s="1240"/>
      <c r="E567" s="1240"/>
      <c r="F567" s="1240"/>
      <c r="G567" s="1240"/>
      <c r="H567" s="1240"/>
      <c r="I567" s="1240"/>
      <c r="J567" s="1240"/>
      <c r="K567" s="1240"/>
      <c r="L567" s="1240"/>
      <c r="M567" s="1240"/>
      <c r="N567" s="1240"/>
      <c r="O567" s="1240"/>
      <c r="P567" s="1258"/>
      <c r="Q567" s="1258"/>
      <c r="R567" s="1240"/>
      <c r="S567" s="1240"/>
      <c r="T567" s="1240"/>
      <c r="U567" s="1240"/>
      <c r="V567" s="1240"/>
      <c r="W567" s="1240"/>
      <c r="X567" s="1240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40"/>
      <c r="D568" s="1240"/>
      <c r="E568" s="1240"/>
      <c r="F568" s="1240"/>
      <c r="G568" s="1240"/>
      <c r="H568" s="1240"/>
      <c r="I568" s="1240"/>
      <c r="J568" s="1240"/>
      <c r="K568" s="1240"/>
      <c r="L568" s="1240"/>
      <c r="M568" s="1240"/>
      <c r="N568" s="1240"/>
      <c r="O568" s="1240"/>
      <c r="P568" s="1256"/>
      <c r="Q568" s="1246"/>
      <c r="R568" s="1240"/>
      <c r="S568" s="1246"/>
      <c r="T568" s="1240"/>
      <c r="U568" s="1240"/>
      <c r="V568" s="1240"/>
      <c r="W568" s="1240"/>
      <c r="X568" s="1240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240"/>
      <c r="D569" s="1240"/>
      <c r="E569" s="1240"/>
      <c r="F569" s="1240"/>
      <c r="G569" s="1240"/>
      <c r="H569" s="1240"/>
      <c r="I569" s="1240"/>
      <c r="J569" s="1240"/>
      <c r="K569" s="1240"/>
      <c r="L569" s="1240"/>
      <c r="M569" s="1240"/>
      <c r="N569" s="1240"/>
      <c r="O569" s="1240"/>
      <c r="P569" s="1256"/>
      <c r="Q569" s="1246"/>
      <c r="R569" s="1240"/>
      <c r="S569" s="1246"/>
      <c r="T569" s="1240"/>
      <c r="U569" s="1240"/>
      <c r="V569" s="1240"/>
      <c r="W569" s="1240"/>
      <c r="X569" s="1240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45"/>
      <c r="D570" s="1240"/>
      <c r="E570" s="1240"/>
      <c r="F570" s="1240"/>
      <c r="G570" s="1240"/>
      <c r="H570" s="1240"/>
      <c r="I570" s="1240"/>
      <c r="J570" s="1240"/>
      <c r="K570" s="1240"/>
      <c r="L570" s="1240"/>
      <c r="M570" s="1240"/>
      <c r="N570" s="1240"/>
      <c r="O570" s="1240"/>
      <c r="P570" s="1258"/>
      <c r="Q570" s="1248"/>
      <c r="R570" s="1240"/>
      <c r="S570" s="1248"/>
      <c r="T570" s="1240"/>
      <c r="U570" s="1240"/>
      <c r="V570" s="1240"/>
      <c r="W570" s="1240"/>
      <c r="X570" s="1240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240"/>
      <c r="D571" s="1240"/>
      <c r="E571" s="1240"/>
      <c r="F571" s="1240"/>
      <c r="G571" s="1240"/>
      <c r="H571" s="1240"/>
      <c r="I571" s="1240"/>
      <c r="J571" s="1240"/>
      <c r="K571" s="1240"/>
      <c r="L571" s="1240"/>
      <c r="M571" s="1240"/>
      <c r="N571" s="1240"/>
      <c r="O571" s="1240"/>
      <c r="P571" s="1258"/>
      <c r="Q571" s="1258"/>
      <c r="R571" s="1240"/>
      <c r="S571" s="1240"/>
      <c r="T571" s="1240"/>
      <c r="U571" s="1240"/>
      <c r="V571" s="1240"/>
      <c r="W571" s="1240"/>
      <c r="X571" s="1240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40"/>
      <c r="D572" s="1240"/>
      <c r="E572" s="1240"/>
      <c r="F572" s="1240"/>
      <c r="G572" s="1240"/>
      <c r="H572" s="1240"/>
      <c r="I572" s="1240"/>
      <c r="J572" s="1240"/>
      <c r="K572" s="1240"/>
      <c r="L572" s="1240"/>
      <c r="M572" s="1240"/>
      <c r="N572" s="1240"/>
      <c r="O572" s="1240"/>
      <c r="P572" s="1256"/>
      <c r="Q572" s="1246"/>
      <c r="R572" s="1240"/>
      <c r="S572" s="1246"/>
      <c r="T572" s="1240"/>
      <c r="U572" s="1240"/>
      <c r="V572" s="1240"/>
      <c r="W572" s="1240"/>
      <c r="X572" s="1240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45"/>
      <c r="D573" s="1245"/>
      <c r="E573" s="1240"/>
      <c r="F573" s="1240"/>
      <c r="G573" s="1245"/>
      <c r="H573" s="1240"/>
      <c r="I573" s="1240"/>
      <c r="J573" s="1240"/>
      <c r="K573" s="1240"/>
      <c r="L573" s="1240"/>
      <c r="M573" s="1240"/>
      <c r="N573" s="1240"/>
      <c r="O573" s="1240"/>
      <c r="P573" s="1258"/>
      <c r="Q573" s="1248"/>
      <c r="R573" s="1240"/>
      <c r="S573" s="1248"/>
      <c r="T573" s="1240"/>
      <c r="U573" s="1240"/>
      <c r="V573" s="1240"/>
      <c r="W573" s="1240"/>
      <c r="X573" s="1240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240"/>
      <c r="D574" s="1240"/>
      <c r="E574" s="1240"/>
      <c r="F574" s="1240"/>
      <c r="G574" s="1240"/>
      <c r="H574" s="1240"/>
      <c r="I574" s="1240"/>
      <c r="J574" s="1240"/>
      <c r="K574" s="1240"/>
      <c r="L574" s="1240"/>
      <c r="M574" s="1240"/>
      <c r="N574" s="1240"/>
      <c r="O574" s="1240"/>
      <c r="P574" s="1258"/>
      <c r="Q574" s="1258"/>
      <c r="R574" s="1240"/>
      <c r="S574" s="1240"/>
      <c r="T574" s="1240"/>
      <c r="U574" s="1240"/>
      <c r="V574" s="1240"/>
      <c r="W574" s="1240"/>
      <c r="X574" s="1240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40"/>
      <c r="D575" s="1240"/>
      <c r="E575" s="1246"/>
      <c r="F575" s="1256"/>
      <c r="G575" s="1240"/>
      <c r="H575" s="1246"/>
      <c r="I575" s="1256"/>
      <c r="J575" s="1256"/>
      <c r="K575" s="1246"/>
      <c r="L575" s="1256"/>
      <c r="M575" s="1246"/>
      <c r="N575" s="1256"/>
      <c r="O575" s="1246"/>
      <c r="P575" s="1256"/>
      <c r="Q575" s="1246"/>
      <c r="R575" s="1246"/>
      <c r="S575" s="1240"/>
      <c r="T575" s="1240"/>
      <c r="U575" s="1240"/>
      <c r="V575" s="1240"/>
      <c r="W575" s="1240"/>
      <c r="X575" s="1240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45"/>
      <c r="D576" s="1245"/>
      <c r="E576" s="1248"/>
      <c r="F576" s="1258"/>
      <c r="G576" s="1245"/>
      <c r="H576" s="1248"/>
      <c r="I576" s="1258"/>
      <c r="J576" s="1258"/>
      <c r="K576" s="1248"/>
      <c r="L576" s="1258"/>
      <c r="M576" s="1248"/>
      <c r="N576" s="1258"/>
      <c r="O576" s="1248"/>
      <c r="P576" s="1258"/>
      <c r="Q576" s="1248"/>
      <c r="R576" s="1248"/>
      <c r="S576" s="1248"/>
      <c r="T576" s="1240"/>
      <c r="U576" s="1240"/>
      <c r="V576" s="1240"/>
      <c r="W576" s="1240"/>
      <c r="X576" s="1240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240"/>
      <c r="D577" s="1240"/>
      <c r="E577" s="1246"/>
      <c r="F577" s="1256"/>
      <c r="G577" s="1240"/>
      <c r="H577" s="1246"/>
      <c r="I577" s="1256"/>
      <c r="J577" s="1246"/>
      <c r="K577" s="1256"/>
      <c r="L577" s="1246"/>
      <c r="M577" s="1240"/>
      <c r="N577" s="1246"/>
      <c r="O577" s="1256"/>
      <c r="P577" s="1248"/>
      <c r="Q577" s="1258"/>
      <c r="R577" s="1258"/>
      <c r="S577" s="1246"/>
      <c r="T577" s="1240"/>
      <c r="U577" s="1240"/>
      <c r="V577" s="1240"/>
      <c r="W577" s="1240"/>
      <c r="X577" s="1240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40"/>
      <c r="D578" s="1240"/>
      <c r="E578" s="1246"/>
      <c r="F578" s="1256"/>
      <c r="G578" s="1240"/>
      <c r="H578" s="1246"/>
      <c r="I578" s="1256"/>
      <c r="J578" s="1246"/>
      <c r="K578" s="1256"/>
      <c r="L578" s="1246"/>
      <c r="M578" s="1240"/>
      <c r="N578" s="1246"/>
      <c r="O578" s="1256"/>
      <c r="P578" s="1246"/>
      <c r="Q578" s="1240"/>
      <c r="R578" s="1256"/>
      <c r="S578" s="1246"/>
      <c r="T578" s="1240"/>
      <c r="U578" s="1240"/>
      <c r="V578" s="1240"/>
      <c r="W578" s="1240"/>
      <c r="X578" s="1240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240"/>
      <c r="D579" s="1240"/>
      <c r="E579" s="1240"/>
      <c r="F579" s="1240"/>
      <c r="G579" s="1240"/>
      <c r="H579" s="1240"/>
      <c r="I579" s="1240"/>
      <c r="J579" s="1240"/>
      <c r="K579" s="1240"/>
      <c r="L579" s="1240"/>
      <c r="M579" s="1240"/>
      <c r="N579" s="1240"/>
      <c r="O579" s="1240"/>
      <c r="P579" s="1240"/>
      <c r="Q579" s="1240"/>
      <c r="R579" s="1256"/>
      <c r="S579" s="1246"/>
      <c r="T579" s="1240"/>
      <c r="U579" s="1240"/>
      <c r="V579" s="1240"/>
      <c r="W579" s="1240"/>
      <c r="X579" s="1240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240"/>
      <c r="D580" s="1240"/>
      <c r="E580" s="1246"/>
      <c r="F580" s="1256"/>
      <c r="G580" s="1240"/>
      <c r="H580" s="1246"/>
      <c r="I580" s="1256"/>
      <c r="J580" s="1246"/>
      <c r="K580" s="1256"/>
      <c r="L580" s="1246"/>
      <c r="M580" s="1240"/>
      <c r="N580" s="1246"/>
      <c r="O580" s="1256"/>
      <c r="P580" s="1246"/>
      <c r="Q580" s="1240"/>
      <c r="R580" s="1256"/>
      <c r="S580" s="1246"/>
      <c r="T580" s="1240"/>
      <c r="U580" s="1240"/>
      <c r="V580" s="1240"/>
      <c r="W580" s="1240"/>
      <c r="X580" s="1240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240"/>
      <c r="D581" s="1240"/>
      <c r="E581" s="1246"/>
      <c r="F581" s="1256"/>
      <c r="G581" s="1240"/>
      <c r="H581" s="1246"/>
      <c r="I581" s="1256"/>
      <c r="J581" s="1246"/>
      <c r="K581" s="1256"/>
      <c r="L581" s="1246"/>
      <c r="M581" s="1240"/>
      <c r="N581" s="1246"/>
      <c r="O581" s="1256"/>
      <c r="P581" s="1246"/>
      <c r="Q581" s="1240"/>
      <c r="R581" s="1256"/>
      <c r="S581" s="1246"/>
      <c r="T581" s="1240"/>
      <c r="U581" s="1240"/>
      <c r="V581" s="1240"/>
      <c r="W581" s="1240"/>
      <c r="X581" s="1240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240"/>
      <c r="D582" s="1240"/>
      <c r="E582" s="1246"/>
      <c r="F582" s="1256"/>
      <c r="G582" s="1240"/>
      <c r="H582" s="1246"/>
      <c r="I582" s="1256"/>
      <c r="J582" s="1246"/>
      <c r="K582" s="1256"/>
      <c r="L582" s="1246"/>
      <c r="M582" s="1240"/>
      <c r="N582" s="1246"/>
      <c r="O582" s="1256"/>
      <c r="P582" s="1246"/>
      <c r="Q582" s="1240"/>
      <c r="R582" s="1256"/>
      <c r="S582" s="1246"/>
      <c r="T582" s="1240"/>
      <c r="U582" s="1240"/>
      <c r="V582" s="1240"/>
      <c r="W582" s="1240"/>
      <c r="X582" s="1240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240"/>
      <c r="D583" s="1240"/>
      <c r="E583" s="1246"/>
      <c r="F583" s="1256"/>
      <c r="G583" s="1240"/>
      <c r="H583" s="1246"/>
      <c r="I583" s="1256"/>
      <c r="J583" s="1246"/>
      <c r="K583" s="1256"/>
      <c r="L583" s="1246"/>
      <c r="M583" s="1240"/>
      <c r="N583" s="1246"/>
      <c r="O583" s="1256"/>
      <c r="P583" s="1246"/>
      <c r="Q583" s="1240"/>
      <c r="R583" s="1256"/>
      <c r="S583" s="1246"/>
      <c r="T583" s="1240"/>
      <c r="U583" s="1240"/>
      <c r="V583" s="1240"/>
      <c r="W583" s="1240"/>
      <c r="X583" s="1240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240"/>
      <c r="D584" s="1240"/>
      <c r="E584" s="1246"/>
      <c r="F584" s="1256"/>
      <c r="G584" s="1240"/>
      <c r="H584" s="1246"/>
      <c r="I584" s="1256"/>
      <c r="J584" s="1246"/>
      <c r="K584" s="1256"/>
      <c r="L584" s="1246"/>
      <c r="M584" s="1240"/>
      <c r="N584" s="1246"/>
      <c r="O584" s="1256"/>
      <c r="P584" s="1246"/>
      <c r="Q584" s="1240"/>
      <c r="R584" s="1256"/>
      <c r="S584" s="1246"/>
      <c r="T584" s="1240"/>
      <c r="U584" s="1240"/>
      <c r="V584" s="1240"/>
      <c r="W584" s="1240"/>
      <c r="X584" s="1240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240"/>
      <c r="D585" s="1240"/>
      <c r="E585" s="1246"/>
      <c r="F585" s="1256"/>
      <c r="G585" s="1240"/>
      <c r="H585" s="1246"/>
      <c r="I585" s="1256"/>
      <c r="J585" s="1246"/>
      <c r="K585" s="1256"/>
      <c r="L585" s="1246"/>
      <c r="M585" s="1240"/>
      <c r="N585" s="1246"/>
      <c r="O585" s="1256"/>
      <c r="P585" s="1246"/>
      <c r="Q585" s="1240"/>
      <c r="R585" s="1256"/>
      <c r="S585" s="1246"/>
      <c r="T585" s="1240"/>
      <c r="U585" s="1240"/>
      <c r="V585" s="1240"/>
      <c r="W585" s="1240"/>
      <c r="X585" s="1240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240"/>
      <c r="D586" s="1240"/>
      <c r="E586" s="1246"/>
      <c r="F586" s="1256"/>
      <c r="G586" s="1240"/>
      <c r="H586" s="1246"/>
      <c r="I586" s="1256"/>
      <c r="J586" s="1246"/>
      <c r="K586" s="1256"/>
      <c r="L586" s="1246"/>
      <c r="M586" s="1240"/>
      <c r="N586" s="1246"/>
      <c r="O586" s="1256"/>
      <c r="P586" s="1246"/>
      <c r="Q586" s="1240"/>
      <c r="R586" s="1256"/>
      <c r="S586" s="1246"/>
      <c r="T586" s="1240"/>
      <c r="U586" s="1240"/>
      <c r="V586" s="1240"/>
      <c r="W586" s="1240"/>
      <c r="X586" s="1240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240"/>
      <c r="D587" s="1240"/>
      <c r="E587" s="1240"/>
      <c r="F587" s="1240"/>
      <c r="G587" s="1240"/>
      <c r="H587" s="1240"/>
      <c r="I587" s="1240"/>
      <c r="J587" s="1240"/>
      <c r="K587" s="1240"/>
      <c r="L587" s="1240"/>
      <c r="M587" s="1240"/>
      <c r="N587" s="1240"/>
      <c r="O587" s="1240"/>
      <c r="P587" s="1240"/>
      <c r="Q587" s="1240"/>
      <c r="R587" s="1240"/>
      <c r="S587" s="1240"/>
      <c r="T587" s="1240"/>
      <c r="U587" s="1240"/>
      <c r="V587" s="1240"/>
      <c r="W587" s="1240"/>
      <c r="X587" s="1240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240"/>
      <c r="D588" s="1240"/>
      <c r="E588" s="1240"/>
      <c r="F588" s="1240"/>
      <c r="G588" s="1240"/>
      <c r="H588" s="1240"/>
      <c r="I588" s="1240"/>
      <c r="J588" s="1240"/>
      <c r="K588" s="1240"/>
      <c r="L588" s="1240"/>
      <c r="M588" s="1240"/>
      <c r="N588" s="1240"/>
      <c r="O588" s="1240"/>
      <c r="P588" s="1240"/>
      <c r="Q588" s="1240"/>
      <c r="R588" s="1240"/>
      <c r="S588" s="1240"/>
      <c r="T588" s="1240"/>
      <c r="U588" s="1240"/>
      <c r="V588" s="1240"/>
      <c r="W588" s="1240"/>
      <c r="X588" s="1240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240"/>
      <c r="D589" s="1240"/>
      <c r="E589" s="1240"/>
      <c r="F589" s="1240"/>
      <c r="G589" s="1240"/>
      <c r="H589" s="1240"/>
      <c r="I589" s="1240"/>
      <c r="J589" s="1240"/>
      <c r="K589" s="1240"/>
      <c r="L589" s="1240"/>
      <c r="M589" s="1240"/>
      <c r="N589" s="1240"/>
      <c r="O589" s="1240"/>
      <c r="P589" s="1240"/>
      <c r="Q589" s="1240"/>
      <c r="R589" s="1240"/>
      <c r="S589" s="1240"/>
      <c r="T589" s="1240"/>
      <c r="U589" s="1240"/>
      <c r="V589" s="1240"/>
      <c r="W589" s="1240"/>
      <c r="X589" s="1240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240"/>
      <c r="D590" s="1240"/>
      <c r="E590" s="1240"/>
      <c r="F590" s="1240"/>
      <c r="G590" s="1240"/>
      <c r="H590" s="1240"/>
      <c r="I590" s="1240"/>
      <c r="J590" s="1240"/>
      <c r="K590" s="1240"/>
      <c r="L590" s="1240"/>
      <c r="M590" s="1240"/>
      <c r="N590" s="1240"/>
      <c r="O590" s="1240"/>
      <c r="P590" s="1240"/>
      <c r="Q590" s="1240"/>
      <c r="R590" s="1240"/>
      <c r="S590" s="1240"/>
      <c r="T590" s="1240"/>
      <c r="U590" s="1240"/>
      <c r="V590" s="1240"/>
      <c r="W590" s="1240"/>
      <c r="X590" s="1240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240"/>
      <c r="D591" s="1240"/>
      <c r="E591" s="1240"/>
      <c r="F591" s="1240"/>
      <c r="G591" s="1240"/>
      <c r="H591" s="1240"/>
      <c r="I591" s="1240"/>
      <c r="J591" s="1240"/>
      <c r="K591" s="1240"/>
      <c r="L591" s="1240"/>
      <c r="M591" s="1240"/>
      <c r="N591" s="1240"/>
      <c r="O591" s="1240"/>
      <c r="P591" s="1240"/>
      <c r="Q591" s="1240"/>
      <c r="R591" s="1240"/>
      <c r="S591" s="1240"/>
      <c r="T591" s="1240"/>
      <c r="U591" s="1240"/>
      <c r="V591" s="1240"/>
      <c r="W591" s="1240"/>
      <c r="X591" s="1240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240"/>
      <c r="D592" s="1240"/>
      <c r="E592" s="1240"/>
      <c r="F592" s="1240"/>
      <c r="G592" s="1240"/>
      <c r="H592" s="1240"/>
      <c r="I592" s="1240"/>
      <c r="J592" s="1240"/>
      <c r="K592" s="1240"/>
      <c r="L592" s="1240"/>
      <c r="M592" s="1240"/>
      <c r="N592" s="1240"/>
      <c r="O592" s="1240"/>
      <c r="P592" s="1240"/>
      <c r="Q592" s="1240"/>
      <c r="R592" s="1240"/>
      <c r="S592" s="1240"/>
      <c r="T592" s="1240"/>
      <c r="U592" s="1240"/>
      <c r="V592" s="1240"/>
      <c r="W592" s="1240"/>
      <c r="X592" s="1240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240"/>
      <c r="D593" s="1240"/>
      <c r="E593" s="1240"/>
      <c r="F593" s="1240"/>
      <c r="G593" s="1240"/>
      <c r="H593" s="1240"/>
      <c r="I593" s="1240"/>
      <c r="J593" s="1240"/>
      <c r="K593" s="1240"/>
      <c r="L593" s="1240"/>
      <c r="M593" s="1240"/>
      <c r="N593" s="1240"/>
      <c r="O593" s="1240"/>
      <c r="P593" s="1240"/>
      <c r="Q593" s="1240"/>
      <c r="R593" s="1240"/>
      <c r="S593" s="1240"/>
      <c r="T593" s="1240"/>
      <c r="U593" s="1240"/>
      <c r="V593" s="1240"/>
      <c r="W593" s="1240"/>
      <c r="X593" s="1240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240"/>
      <c r="D594" s="1240"/>
      <c r="E594" s="1240"/>
      <c r="F594" s="1240"/>
      <c r="G594" s="1240"/>
      <c r="H594" s="1240"/>
      <c r="I594" s="1240"/>
      <c r="J594" s="1240"/>
      <c r="K594" s="1240"/>
      <c r="L594" s="1240"/>
      <c r="M594" s="1240"/>
      <c r="N594" s="1240"/>
      <c r="O594" s="1240"/>
      <c r="P594" s="1240"/>
      <c r="Q594" s="1240"/>
      <c r="R594" s="1240"/>
      <c r="S594" s="1240"/>
      <c r="T594" s="1240"/>
      <c r="U594" s="1240"/>
      <c r="V594" s="1240"/>
      <c r="W594" s="1240"/>
      <c r="X594" s="1240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240"/>
      <c r="D595" s="1240"/>
      <c r="E595" s="1240"/>
      <c r="F595" s="1240"/>
      <c r="G595" s="1240"/>
      <c r="H595" s="1240"/>
      <c r="I595" s="1240"/>
      <c r="J595" s="1240"/>
      <c r="K595" s="1240"/>
      <c r="L595" s="1240"/>
      <c r="M595" s="1240"/>
      <c r="N595" s="1240"/>
      <c r="O595" s="1240"/>
      <c r="P595" s="1240"/>
      <c r="Q595" s="1240"/>
      <c r="R595" s="1240"/>
      <c r="S595" s="1240"/>
      <c r="T595" s="1240"/>
      <c r="U595" s="1240"/>
      <c r="V595" s="1240"/>
      <c r="W595" s="1240"/>
      <c r="X595" s="1240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240"/>
      <c r="D596" s="1240"/>
      <c r="E596" s="1240"/>
      <c r="F596" s="1240"/>
      <c r="G596" s="1240"/>
      <c r="H596" s="1240"/>
      <c r="I596" s="1240"/>
      <c r="J596" s="1240"/>
      <c r="K596" s="1240"/>
      <c r="L596" s="1240"/>
      <c r="M596" s="1240"/>
      <c r="N596" s="1240"/>
      <c r="O596" s="1240"/>
      <c r="P596" s="1240"/>
      <c r="Q596" s="1240"/>
      <c r="R596" s="1240"/>
      <c r="S596" s="1240"/>
      <c r="T596" s="1240"/>
      <c r="U596" s="1240"/>
      <c r="V596" s="1240"/>
      <c r="W596" s="1240"/>
      <c r="X596" s="1240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240"/>
      <c r="D597" s="1240"/>
      <c r="E597" s="1240"/>
      <c r="F597" s="1240"/>
      <c r="G597" s="1240"/>
      <c r="H597" s="1240"/>
      <c r="I597" s="1240"/>
      <c r="J597" s="1240"/>
      <c r="K597" s="1240"/>
      <c r="L597" s="1240"/>
      <c r="M597" s="1240"/>
      <c r="N597" s="1240"/>
      <c r="O597" s="1240"/>
      <c r="P597" s="1240"/>
      <c r="Q597" s="1240"/>
      <c r="R597" s="1240"/>
      <c r="S597" s="1240"/>
      <c r="T597" s="1240"/>
      <c r="U597" s="1240"/>
      <c r="V597" s="1240"/>
      <c r="W597" s="1240"/>
      <c r="X597" s="1240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240"/>
      <c r="D598" s="1240"/>
      <c r="E598" s="1240"/>
      <c r="F598" s="1240"/>
      <c r="G598" s="1240"/>
      <c r="H598" s="1240"/>
      <c r="I598" s="1240"/>
      <c r="J598" s="1240"/>
      <c r="K598" s="1240"/>
      <c r="L598" s="1240"/>
      <c r="M598" s="1240"/>
      <c r="N598" s="1240"/>
      <c r="O598" s="1240"/>
      <c r="P598" s="1240"/>
      <c r="Q598" s="1240"/>
      <c r="R598" s="1240"/>
      <c r="S598" s="1240"/>
      <c r="T598" s="1240"/>
      <c r="U598" s="1240"/>
      <c r="V598" s="1240"/>
      <c r="W598" s="1240"/>
      <c r="X598" s="1240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240"/>
      <c r="D599" s="1240"/>
      <c r="E599" s="1240"/>
      <c r="F599" s="1240"/>
      <c r="G599" s="1240"/>
      <c r="H599" s="1240"/>
      <c r="I599" s="1240"/>
      <c r="J599" s="1240"/>
      <c r="K599" s="1240"/>
      <c r="L599" s="1240"/>
      <c r="M599" s="1240"/>
      <c r="N599" s="1240"/>
      <c r="O599" s="1240"/>
      <c r="P599" s="1240"/>
      <c r="Q599" s="1240"/>
      <c r="R599" s="1240"/>
      <c r="S599" s="1240"/>
      <c r="T599" s="1240"/>
      <c r="U599" s="1240"/>
      <c r="V599" s="1240"/>
      <c r="W599" s="1240"/>
      <c r="X599" s="1240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240"/>
      <c r="D600" s="1240"/>
      <c r="E600" s="1240"/>
      <c r="F600" s="1240"/>
      <c r="G600" s="1240"/>
      <c r="H600" s="1240"/>
      <c r="I600" s="1240"/>
      <c r="J600" s="1240"/>
      <c r="K600" s="1240"/>
      <c r="L600" s="1240"/>
      <c r="M600" s="1240"/>
      <c r="N600" s="1240"/>
      <c r="O600" s="1240"/>
      <c r="P600" s="1240"/>
      <c r="Q600" s="1240"/>
      <c r="R600" s="1240"/>
      <c r="S600" s="1240"/>
      <c r="T600" s="1240"/>
      <c r="U600" s="1240"/>
      <c r="V600" s="1240"/>
      <c r="W600" s="1240"/>
      <c r="X600" s="1240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240"/>
      <c r="D601" s="1240"/>
      <c r="E601" s="1240"/>
      <c r="F601" s="1240"/>
      <c r="G601" s="1240"/>
      <c r="H601" s="1240"/>
      <c r="I601" s="1240"/>
      <c r="J601" s="1240"/>
      <c r="K601" s="1240"/>
      <c r="L601" s="1240"/>
      <c r="M601" s="1240"/>
      <c r="N601" s="1240"/>
      <c r="O601" s="1240"/>
      <c r="P601" s="1240"/>
      <c r="Q601" s="1240"/>
      <c r="R601" s="1240"/>
      <c r="S601" s="1240"/>
      <c r="T601" s="1240"/>
      <c r="U601" s="1240"/>
      <c r="V601" s="1240"/>
      <c r="W601" s="1240"/>
      <c r="X601" s="1240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240"/>
      <c r="D602" s="1240"/>
      <c r="E602" s="1240"/>
      <c r="F602" s="1240"/>
      <c r="G602" s="1240"/>
      <c r="H602" s="1240"/>
      <c r="I602" s="1240"/>
      <c r="J602" s="1240"/>
      <c r="K602" s="1240"/>
      <c r="L602" s="1240"/>
      <c r="M602" s="1240"/>
      <c r="N602" s="1240"/>
      <c r="O602" s="1240"/>
      <c r="P602" s="1240"/>
      <c r="Q602" s="1240"/>
      <c r="R602" s="1240"/>
      <c r="S602" s="1240"/>
      <c r="T602" s="1240"/>
      <c r="U602" s="1240"/>
      <c r="V602" s="1240"/>
      <c r="W602" s="1240"/>
      <c r="X602" s="1240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240"/>
      <c r="D603" s="1240"/>
      <c r="E603" s="1240"/>
      <c r="F603" s="1240"/>
      <c r="G603" s="1240"/>
      <c r="H603" s="1240"/>
      <c r="I603" s="1240"/>
      <c r="J603" s="1240"/>
      <c r="K603" s="1240"/>
      <c r="L603" s="1240"/>
      <c r="M603" s="1240"/>
      <c r="N603" s="1240"/>
      <c r="O603" s="1240"/>
      <c r="P603" s="1240"/>
      <c r="Q603" s="1240"/>
      <c r="R603" s="1240"/>
      <c r="S603" s="1240"/>
      <c r="T603" s="1240"/>
      <c r="U603" s="1240"/>
      <c r="V603" s="1240"/>
      <c r="W603" s="1240"/>
      <c r="X603" s="1240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240"/>
      <c r="D604" s="1240"/>
      <c r="E604" s="1240"/>
      <c r="F604" s="1240"/>
      <c r="G604" s="1240"/>
      <c r="H604" s="1240"/>
      <c r="I604" s="1240"/>
      <c r="J604" s="1240"/>
      <c r="K604" s="1240"/>
      <c r="L604" s="1240"/>
      <c r="M604" s="1240"/>
      <c r="N604" s="1240"/>
      <c r="O604" s="1240"/>
      <c r="P604" s="1240"/>
      <c r="Q604" s="1240"/>
      <c r="R604" s="1240"/>
      <c r="S604" s="1240"/>
      <c r="T604" s="1240"/>
      <c r="U604" s="1240"/>
      <c r="V604" s="1240"/>
      <c r="W604" s="1240"/>
      <c r="X604" s="1240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240"/>
      <c r="D605" s="1240"/>
      <c r="E605" s="1240"/>
      <c r="F605" s="1240"/>
      <c r="G605" s="1240"/>
      <c r="H605" s="1240"/>
      <c r="I605" s="1240"/>
      <c r="J605" s="1240"/>
      <c r="K605" s="1240"/>
      <c r="L605" s="1240"/>
      <c r="M605" s="1240"/>
      <c r="N605" s="1240"/>
      <c r="O605" s="1240"/>
      <c r="P605" s="1240"/>
      <c r="Q605" s="1240"/>
      <c r="R605" s="1240"/>
      <c r="S605" s="1240"/>
      <c r="T605" s="1240"/>
      <c r="U605" s="1240"/>
      <c r="V605" s="1240"/>
      <c r="W605" s="1240"/>
      <c r="X605" s="1240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240"/>
      <c r="D606" s="1240"/>
      <c r="E606" s="1240"/>
      <c r="F606" s="1240"/>
      <c r="G606" s="1240"/>
      <c r="H606" s="1240"/>
      <c r="I606" s="1240"/>
      <c r="J606" s="1240"/>
      <c r="K606" s="1240"/>
      <c r="L606" s="1240"/>
      <c r="M606" s="1240"/>
      <c r="N606" s="1240"/>
      <c r="O606" s="1240"/>
      <c r="P606" s="1240"/>
      <c r="Q606" s="1240"/>
      <c r="R606" s="1240"/>
      <c r="S606" s="1240"/>
      <c r="T606" s="1240"/>
      <c r="U606" s="1240"/>
      <c r="V606" s="1240"/>
      <c r="W606" s="1240"/>
      <c r="X606" s="1240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240"/>
      <c r="D607" s="1240"/>
      <c r="E607" s="1240"/>
      <c r="F607" s="1240"/>
      <c r="G607" s="1240"/>
      <c r="H607" s="1240"/>
      <c r="I607" s="1240"/>
      <c r="J607" s="1240"/>
      <c r="K607" s="1240"/>
      <c r="L607" s="1240"/>
      <c r="M607" s="1240"/>
      <c r="N607" s="1240"/>
      <c r="O607" s="1240"/>
      <c r="P607" s="1240"/>
      <c r="Q607" s="1240"/>
      <c r="R607" s="1240"/>
      <c r="S607" s="1240"/>
      <c r="T607" s="1240"/>
      <c r="U607" s="1240"/>
      <c r="V607" s="1240"/>
      <c r="W607" s="1240"/>
      <c r="X607" s="1240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240"/>
      <c r="D608" s="1240"/>
      <c r="E608" s="1240"/>
      <c r="F608" s="1240"/>
      <c r="G608" s="1240"/>
      <c r="H608" s="1240"/>
      <c r="I608" s="1240"/>
      <c r="J608" s="1240"/>
      <c r="K608" s="1240"/>
      <c r="L608" s="1240"/>
      <c r="M608" s="1240"/>
      <c r="N608" s="1240"/>
      <c r="O608" s="1240"/>
      <c r="P608" s="1240"/>
      <c r="Q608" s="1240"/>
      <c r="R608" s="1240"/>
      <c r="S608" s="1240"/>
      <c r="T608" s="1240"/>
      <c r="U608" s="1240"/>
      <c r="V608" s="1240"/>
      <c r="W608" s="1240"/>
      <c r="X608" s="1240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240"/>
      <c r="D609" s="1240"/>
      <c r="E609" s="1240"/>
      <c r="F609" s="1240"/>
      <c r="G609" s="1240"/>
      <c r="H609" s="1240"/>
      <c r="I609" s="1240"/>
      <c r="J609" s="1240"/>
      <c r="K609" s="1240"/>
      <c r="L609" s="1240"/>
      <c r="M609" s="1240"/>
      <c r="N609" s="1240"/>
      <c r="O609" s="1240"/>
      <c r="P609" s="1240"/>
      <c r="Q609" s="1240"/>
      <c r="R609" s="1240"/>
      <c r="S609" s="1240"/>
      <c r="T609" s="1240"/>
      <c r="U609" s="1240"/>
      <c r="V609" s="1240"/>
      <c r="W609" s="1240"/>
      <c r="X609" s="1240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240"/>
      <c r="D610" s="1240"/>
      <c r="E610" s="1240"/>
      <c r="F610" s="1240"/>
      <c r="G610" s="1240"/>
      <c r="H610" s="1240"/>
      <c r="I610" s="1240"/>
      <c r="J610" s="1240"/>
      <c r="K610" s="1240"/>
      <c r="L610" s="1240"/>
      <c r="M610" s="1240"/>
      <c r="N610" s="1240"/>
      <c r="O610" s="1240"/>
      <c r="P610" s="1240"/>
      <c r="Q610" s="1240"/>
      <c r="R610" s="1240"/>
      <c r="S610" s="1240"/>
      <c r="T610" s="1240"/>
      <c r="U610" s="1240"/>
      <c r="V610" s="1240"/>
      <c r="W610" s="1240"/>
      <c r="X610" s="1240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240"/>
      <c r="D611" s="1240"/>
      <c r="E611" s="1240"/>
      <c r="F611" s="1240"/>
      <c r="G611" s="1240"/>
      <c r="H611" s="1240"/>
      <c r="I611" s="1240"/>
      <c r="J611" s="1240"/>
      <c r="K611" s="1240"/>
      <c r="L611" s="1240"/>
      <c r="M611" s="1240"/>
      <c r="N611" s="1240"/>
      <c r="O611" s="1240"/>
      <c r="P611" s="1240"/>
      <c r="Q611" s="1240"/>
      <c r="R611" s="1240"/>
      <c r="S611" s="1240"/>
      <c r="T611" s="1240"/>
      <c r="U611" s="1240"/>
      <c r="V611" s="1240"/>
      <c r="W611" s="1240"/>
      <c r="X611" s="1240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240"/>
      <c r="D612" s="1240"/>
      <c r="E612" s="1240"/>
      <c r="F612" s="1240"/>
      <c r="G612" s="1240"/>
      <c r="H612" s="1240"/>
      <c r="I612" s="1240"/>
      <c r="J612" s="1240"/>
      <c r="K612" s="1240"/>
      <c r="L612" s="1240"/>
      <c r="M612" s="1240"/>
      <c r="N612" s="1240"/>
      <c r="O612" s="1240"/>
      <c r="P612" s="1240"/>
      <c r="Q612" s="1240"/>
      <c r="R612" s="1240"/>
      <c r="S612" s="1240"/>
      <c r="T612" s="1240"/>
      <c r="U612" s="1240"/>
      <c r="V612" s="1240"/>
      <c r="W612" s="1240"/>
      <c r="X612" s="1240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240"/>
      <c r="D613" s="1240"/>
      <c r="E613" s="1240"/>
      <c r="F613" s="1240"/>
      <c r="G613" s="1240"/>
      <c r="H613" s="1240"/>
      <c r="I613" s="1240"/>
      <c r="J613" s="1240"/>
      <c r="K613" s="1240"/>
      <c r="L613" s="1240"/>
      <c r="M613" s="1240"/>
      <c r="N613" s="1240"/>
      <c r="O613" s="1240"/>
      <c r="P613" s="1240"/>
      <c r="Q613" s="1240"/>
      <c r="R613" s="1240"/>
      <c r="S613" s="1240"/>
      <c r="T613" s="1240"/>
      <c r="U613" s="1240"/>
      <c r="V613" s="1240"/>
      <c r="W613" s="1240"/>
      <c r="X613" s="1240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240"/>
      <c r="D614" s="1240"/>
      <c r="E614" s="1240"/>
      <c r="F614" s="1240"/>
      <c r="G614" s="1240"/>
      <c r="H614" s="1240"/>
      <c r="I614" s="1240"/>
      <c r="J614" s="1240"/>
      <c r="K614" s="1240"/>
      <c r="L614" s="1240"/>
      <c r="M614" s="1240"/>
      <c r="N614" s="1240"/>
      <c r="O614" s="1240"/>
      <c r="P614" s="1240"/>
      <c r="Q614" s="1240"/>
      <c r="R614" s="1240"/>
      <c r="S614" s="1240"/>
      <c r="T614" s="1240"/>
      <c r="U614" s="1240"/>
      <c r="V614" s="1240"/>
      <c r="W614" s="1240"/>
      <c r="X614" s="1240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240"/>
      <c r="D615" s="1240"/>
      <c r="E615" s="1240"/>
      <c r="F615" s="1240"/>
      <c r="G615" s="1240"/>
      <c r="H615" s="1240"/>
      <c r="I615" s="1240"/>
      <c r="J615" s="1240"/>
      <c r="K615" s="1240"/>
      <c r="L615" s="1240"/>
      <c r="M615" s="1240"/>
      <c r="N615" s="1240"/>
      <c r="O615" s="1240"/>
      <c r="P615" s="1240"/>
      <c r="Q615" s="1240"/>
      <c r="R615" s="1240"/>
      <c r="S615" s="1240"/>
      <c r="T615" s="1240"/>
      <c r="U615" s="1240"/>
      <c r="V615" s="1240"/>
      <c r="W615" s="1240"/>
      <c r="X615" s="1240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240"/>
      <c r="D616" s="1240"/>
      <c r="E616" s="1240"/>
      <c r="F616" s="1240"/>
      <c r="G616" s="1240"/>
      <c r="H616" s="1240"/>
      <c r="I616" s="1240"/>
      <c r="J616" s="1240"/>
      <c r="K616" s="1240"/>
      <c r="L616" s="1240"/>
      <c r="M616" s="1240"/>
      <c r="N616" s="1240"/>
      <c r="O616" s="1240"/>
      <c r="P616" s="1240"/>
      <c r="Q616" s="1240"/>
      <c r="R616" s="1240"/>
      <c r="S616" s="1240"/>
      <c r="T616" s="1240"/>
      <c r="U616" s="1240"/>
      <c r="V616" s="1240"/>
      <c r="W616" s="1240"/>
      <c r="X616" s="1240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240"/>
      <c r="D617" s="1240"/>
      <c r="E617" s="1240"/>
      <c r="F617" s="1240"/>
      <c r="G617" s="1240"/>
      <c r="H617" s="1240"/>
      <c r="I617" s="1240"/>
      <c r="J617" s="1240"/>
      <c r="K617" s="1240"/>
      <c r="L617" s="1240"/>
      <c r="M617" s="1240"/>
      <c r="N617" s="1240"/>
      <c r="O617" s="1240"/>
      <c r="P617" s="1240"/>
      <c r="Q617" s="1240"/>
      <c r="R617" s="1240"/>
      <c r="S617" s="1240"/>
      <c r="T617" s="1240"/>
      <c r="U617" s="1240"/>
      <c r="V617" s="1240"/>
      <c r="W617" s="1240"/>
      <c r="X617" s="1240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240"/>
      <c r="D618" s="1240"/>
      <c r="E618" s="1240"/>
      <c r="F618" s="1240"/>
      <c r="G618" s="1240"/>
      <c r="H618" s="1240"/>
      <c r="I618" s="1240"/>
      <c r="J618" s="1240"/>
      <c r="K618" s="1240"/>
      <c r="L618" s="1240"/>
      <c r="M618" s="1240"/>
      <c r="N618" s="1240"/>
      <c r="O618" s="1240"/>
      <c r="P618" s="1240"/>
      <c r="Q618" s="1240"/>
      <c r="R618" s="1240"/>
      <c r="S618" s="1240"/>
      <c r="T618" s="1240"/>
      <c r="U618" s="1240"/>
      <c r="V618" s="1240"/>
      <c r="W618" s="1240"/>
      <c r="X618" s="1240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240"/>
      <c r="D619" s="1240"/>
      <c r="E619" s="1240"/>
      <c r="F619" s="1240"/>
      <c r="G619" s="1240"/>
      <c r="H619" s="1240"/>
      <c r="I619" s="1240"/>
      <c r="J619" s="1240"/>
      <c r="K619" s="1240"/>
      <c r="L619" s="1240"/>
      <c r="M619" s="1240"/>
      <c r="N619" s="1240"/>
      <c r="O619" s="1240"/>
      <c r="P619" s="1240"/>
      <c r="Q619" s="1240"/>
      <c r="R619" s="1240"/>
      <c r="S619" s="1240"/>
      <c r="T619" s="1240"/>
      <c r="U619" s="1240"/>
      <c r="V619" s="1240"/>
      <c r="W619" s="1240"/>
      <c r="X619" s="1240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240"/>
      <c r="D620" s="1240"/>
      <c r="E620" s="1240"/>
      <c r="F620" s="1240"/>
      <c r="G620" s="1240"/>
      <c r="H620" s="1240"/>
      <c r="I620" s="1240"/>
      <c r="J620" s="1240"/>
      <c r="K620" s="1240"/>
      <c r="L620" s="1240"/>
      <c r="M620" s="1240"/>
      <c r="N620" s="1240"/>
      <c r="O620" s="1240"/>
      <c r="P620" s="1240"/>
      <c r="Q620" s="1240"/>
      <c r="R620" s="1240"/>
      <c r="S620" s="1240"/>
      <c r="T620" s="1240"/>
      <c r="U620" s="1240"/>
      <c r="V620" s="1240"/>
      <c r="W620" s="1240"/>
      <c r="X620" s="1240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240"/>
      <c r="D621" s="1240"/>
      <c r="E621" s="1240"/>
      <c r="F621" s="1240"/>
      <c r="G621" s="1240"/>
      <c r="H621" s="1240"/>
      <c r="I621" s="1240"/>
      <c r="J621" s="1240"/>
      <c r="K621" s="1240"/>
      <c r="L621" s="1240"/>
      <c r="M621" s="1240"/>
      <c r="N621" s="1240"/>
      <c r="O621" s="1240"/>
      <c r="P621" s="1240"/>
      <c r="Q621" s="1240"/>
      <c r="R621" s="1240"/>
      <c r="S621" s="1240"/>
      <c r="T621" s="1240"/>
      <c r="U621" s="1240"/>
      <c r="V621" s="1240"/>
      <c r="W621" s="1240"/>
      <c r="X621" s="1240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240"/>
      <c r="D622" s="1240"/>
      <c r="E622" s="1240"/>
      <c r="F622" s="1240"/>
      <c r="G622" s="1240"/>
      <c r="H622" s="1240"/>
      <c r="I622" s="1240"/>
      <c r="J622" s="1240"/>
      <c r="K622" s="1240"/>
      <c r="L622" s="1240"/>
      <c r="M622" s="1240"/>
      <c r="N622" s="1240"/>
      <c r="O622" s="1240"/>
      <c r="P622" s="1240"/>
      <c r="Q622" s="1240"/>
      <c r="R622" s="1240"/>
      <c r="S622" s="1240"/>
      <c r="T622" s="1240"/>
      <c r="U622" s="1240"/>
      <c r="V622" s="1240"/>
      <c r="W622" s="1240"/>
      <c r="X622" s="1240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240"/>
      <c r="D623" s="1240"/>
      <c r="E623" s="1240"/>
      <c r="F623" s="1240"/>
      <c r="G623" s="1240"/>
      <c r="H623" s="1240"/>
      <c r="I623" s="1240"/>
      <c r="J623" s="1240"/>
      <c r="K623" s="1240"/>
      <c r="L623" s="1240"/>
      <c r="M623" s="1240"/>
      <c r="N623" s="1240"/>
      <c r="O623" s="1240"/>
      <c r="P623" s="1240"/>
      <c r="Q623" s="1240"/>
      <c r="R623" s="1240"/>
      <c r="S623" s="1240"/>
      <c r="T623" s="1240"/>
      <c r="U623" s="1240"/>
      <c r="V623" s="1240"/>
      <c r="W623" s="1240"/>
      <c r="X623" s="1240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240"/>
      <c r="D624" s="1240"/>
      <c r="E624" s="1240"/>
      <c r="F624" s="1240"/>
      <c r="G624" s="1240"/>
      <c r="H624" s="1240"/>
      <c r="I624" s="1240"/>
      <c r="J624" s="1240"/>
      <c r="K624" s="1240"/>
      <c r="L624" s="1240"/>
      <c r="M624" s="1240"/>
      <c r="N624" s="1240"/>
      <c r="O624" s="1240"/>
      <c r="P624" s="1240"/>
      <c r="Q624" s="1240"/>
      <c r="R624" s="1240"/>
      <c r="S624" s="1240"/>
      <c r="T624" s="1240"/>
      <c r="U624" s="1240"/>
      <c r="V624" s="1240"/>
      <c r="W624" s="1240"/>
      <c r="X624" s="1240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240"/>
      <c r="D625" s="1240"/>
      <c r="E625" s="1240"/>
      <c r="F625" s="1240"/>
      <c r="G625" s="1240"/>
      <c r="H625" s="1240"/>
      <c r="I625" s="1240"/>
      <c r="J625" s="1240"/>
      <c r="K625" s="1240"/>
      <c r="L625" s="1240"/>
      <c r="M625" s="1240"/>
      <c r="N625" s="1240"/>
      <c r="O625" s="1240"/>
      <c r="P625" s="1240"/>
      <c r="Q625" s="1240"/>
      <c r="R625" s="1240"/>
      <c r="S625" s="1240"/>
      <c r="T625" s="1240"/>
      <c r="U625" s="1240"/>
      <c r="V625" s="1240"/>
      <c r="W625" s="1240"/>
      <c r="X625" s="1240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240"/>
      <c r="D626" s="1240"/>
      <c r="E626" s="1240"/>
      <c r="F626" s="1240"/>
      <c r="G626" s="1240"/>
      <c r="H626" s="1240"/>
      <c r="I626" s="1240"/>
      <c r="J626" s="1240"/>
      <c r="K626" s="1240"/>
      <c r="L626" s="1240"/>
      <c r="M626" s="1240"/>
      <c r="N626" s="1240"/>
      <c r="O626" s="1240"/>
      <c r="P626" s="1240"/>
      <c r="Q626" s="1240"/>
      <c r="R626" s="1240"/>
      <c r="S626" s="1240"/>
      <c r="T626" s="1240"/>
      <c r="U626" s="1240"/>
      <c r="V626" s="1240"/>
      <c r="W626" s="1240"/>
      <c r="X626" s="1240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240"/>
      <c r="D627" s="1240"/>
      <c r="E627" s="1240"/>
      <c r="F627" s="1240"/>
      <c r="G627" s="1240"/>
      <c r="H627" s="1240"/>
      <c r="I627" s="1240"/>
      <c r="J627" s="1240"/>
      <c r="K627" s="1240"/>
      <c r="L627" s="1240"/>
      <c r="M627" s="1240"/>
      <c r="N627" s="1240"/>
      <c r="O627" s="1240"/>
      <c r="P627" s="1240"/>
      <c r="Q627" s="1240"/>
      <c r="R627" s="1240"/>
      <c r="S627" s="1240"/>
      <c r="T627" s="1240"/>
      <c r="U627" s="1240"/>
      <c r="V627" s="1240"/>
      <c r="W627" s="1240"/>
      <c r="X627" s="1240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240"/>
      <c r="D628" s="1240"/>
      <c r="E628" s="1240"/>
      <c r="F628" s="1240"/>
      <c r="G628" s="1240"/>
      <c r="H628" s="1240"/>
      <c r="I628" s="1240"/>
      <c r="J628" s="1240"/>
      <c r="K628" s="1240"/>
      <c r="L628" s="1240"/>
      <c r="M628" s="1240"/>
      <c r="N628" s="1240"/>
      <c r="O628" s="1240"/>
      <c r="P628" s="1240"/>
      <c r="Q628" s="1240"/>
      <c r="R628" s="1240"/>
      <c r="S628" s="1240"/>
      <c r="T628" s="1240"/>
      <c r="U628" s="1240"/>
      <c r="V628" s="1240"/>
      <c r="W628" s="1240"/>
      <c r="X628" s="1240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240"/>
      <c r="D629" s="1240"/>
      <c r="E629" s="1240"/>
      <c r="F629" s="1240"/>
      <c r="G629" s="1240"/>
      <c r="H629" s="1240"/>
      <c r="I629" s="1240"/>
      <c r="J629" s="1240"/>
      <c r="K629" s="1240"/>
      <c r="L629" s="1240"/>
      <c r="M629" s="1240"/>
      <c r="N629" s="1240"/>
      <c r="O629" s="1240"/>
      <c r="P629" s="1240"/>
      <c r="Q629" s="1240"/>
      <c r="R629" s="1240"/>
      <c r="S629" s="1240"/>
      <c r="T629" s="1240"/>
      <c r="U629" s="1240"/>
      <c r="V629" s="1240"/>
      <c r="W629" s="1240"/>
      <c r="X629" s="1240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240"/>
      <c r="D630" s="1240"/>
      <c r="E630" s="1240"/>
      <c r="F630" s="1240"/>
      <c r="G630" s="1240"/>
      <c r="H630" s="1240"/>
      <c r="I630" s="1240"/>
      <c r="J630" s="1240"/>
      <c r="K630" s="1240"/>
      <c r="L630" s="1240"/>
      <c r="M630" s="1240"/>
      <c r="N630" s="1240"/>
      <c r="O630" s="1240"/>
      <c r="P630" s="1240"/>
      <c r="Q630" s="1240"/>
      <c r="R630" s="1240"/>
      <c r="S630" s="1240"/>
      <c r="T630" s="1240"/>
      <c r="U630" s="1240"/>
      <c r="V630" s="1240"/>
      <c r="W630" s="1240"/>
      <c r="X630" s="1240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240"/>
      <c r="D631" s="1240"/>
      <c r="E631" s="1240"/>
      <c r="F631" s="1240"/>
      <c r="G631" s="1240"/>
      <c r="H631" s="1240"/>
      <c r="I631" s="1240"/>
      <c r="J631" s="1240"/>
      <c r="K631" s="1240"/>
      <c r="L631" s="1240"/>
      <c r="M631" s="1240"/>
      <c r="N631" s="1240"/>
      <c r="O631" s="1240"/>
      <c r="P631" s="1240"/>
      <c r="Q631" s="1240"/>
      <c r="R631" s="1240"/>
      <c r="S631" s="1240"/>
      <c r="T631" s="1240"/>
      <c r="U631" s="1240"/>
      <c r="V631" s="1240"/>
      <c r="W631" s="1240"/>
      <c r="X631" s="1240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240"/>
      <c r="D632" s="1240"/>
      <c r="E632" s="1240"/>
      <c r="F632" s="1240"/>
      <c r="G632" s="1240"/>
      <c r="H632" s="1240"/>
      <c r="I632" s="1240"/>
      <c r="J632" s="1240"/>
      <c r="K632" s="1240"/>
      <c r="L632" s="1240"/>
      <c r="M632" s="1240"/>
      <c r="N632" s="1240"/>
      <c r="O632" s="1240"/>
      <c r="P632" s="1240"/>
      <c r="Q632" s="1240"/>
      <c r="R632" s="1240"/>
      <c r="S632" s="1240"/>
      <c r="T632" s="1240"/>
      <c r="U632" s="1240"/>
      <c r="V632" s="1240"/>
      <c r="W632" s="1240"/>
      <c r="X632" s="1240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240"/>
      <c r="D633" s="1240"/>
      <c r="E633" s="1240"/>
      <c r="F633" s="1240"/>
      <c r="G633" s="1240"/>
      <c r="H633" s="1240"/>
      <c r="I633" s="1240"/>
      <c r="J633" s="1240"/>
      <c r="K633" s="1240"/>
      <c r="L633" s="1240"/>
      <c r="M633" s="1240"/>
      <c r="N633" s="1240"/>
      <c r="O633" s="1240"/>
      <c r="P633" s="1240"/>
      <c r="Q633" s="1240"/>
      <c r="R633" s="1240"/>
      <c r="S633" s="1240"/>
      <c r="T633" s="1240"/>
      <c r="U633" s="1240"/>
      <c r="V633" s="1240"/>
      <c r="W633" s="1240"/>
      <c r="X633" s="1240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240"/>
      <c r="D634" s="1240"/>
      <c r="E634" s="1240"/>
      <c r="F634" s="1240"/>
      <c r="G634" s="1240"/>
      <c r="H634" s="1240"/>
      <c r="I634" s="1240"/>
      <c r="J634" s="1240"/>
      <c r="K634" s="1240"/>
      <c r="L634" s="1240"/>
      <c r="M634" s="1240"/>
      <c r="N634" s="1240"/>
      <c r="O634" s="1240"/>
      <c r="P634" s="1240"/>
      <c r="Q634" s="1240"/>
      <c r="R634" s="1240"/>
      <c r="S634" s="1240"/>
      <c r="T634" s="1240"/>
      <c r="U634" s="1240"/>
      <c r="V634" s="1240"/>
      <c r="W634" s="1240"/>
      <c r="X634" s="1240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240"/>
      <c r="D635" s="1240"/>
      <c r="E635" s="1240"/>
      <c r="F635" s="1240"/>
      <c r="G635" s="1240"/>
      <c r="H635" s="1240"/>
      <c r="I635" s="1240"/>
      <c r="J635" s="1240"/>
      <c r="K635" s="1240"/>
      <c r="L635" s="1240"/>
      <c r="M635" s="1240"/>
      <c r="N635" s="1240"/>
      <c r="O635" s="1240"/>
      <c r="P635" s="1240"/>
      <c r="Q635" s="1240"/>
      <c r="R635" s="1240"/>
      <c r="S635" s="1240"/>
      <c r="T635" s="1240"/>
      <c r="U635" s="1240"/>
      <c r="V635" s="1240"/>
      <c r="W635" s="1240"/>
      <c r="X635" s="1240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240"/>
      <c r="D636" s="1240"/>
      <c r="E636" s="1240"/>
      <c r="F636" s="1240"/>
      <c r="G636" s="1240"/>
      <c r="H636" s="1240"/>
      <c r="I636" s="1240"/>
      <c r="J636" s="1240"/>
      <c r="K636" s="1240"/>
      <c r="L636" s="1240"/>
      <c r="M636" s="1240"/>
      <c r="N636" s="1240"/>
      <c r="O636" s="1240"/>
      <c r="P636" s="1240"/>
      <c r="Q636" s="1240"/>
      <c r="R636" s="1240"/>
      <c r="S636" s="1240"/>
      <c r="T636" s="1240"/>
      <c r="U636" s="1240"/>
      <c r="V636" s="1240"/>
      <c r="W636" s="1240"/>
      <c r="X636" s="1240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240"/>
      <c r="D637" s="1240"/>
      <c r="E637" s="1240"/>
      <c r="F637" s="1240"/>
      <c r="G637" s="1240"/>
      <c r="H637" s="1240"/>
      <c r="I637" s="1240"/>
      <c r="J637" s="1240"/>
      <c r="K637" s="1240"/>
      <c r="L637" s="1240"/>
      <c r="M637" s="1240"/>
      <c r="N637" s="1240"/>
      <c r="O637" s="1240"/>
      <c r="P637" s="1240"/>
      <c r="Q637" s="1240"/>
      <c r="R637" s="1240"/>
      <c r="S637" s="1240"/>
      <c r="T637" s="1240"/>
      <c r="U637" s="1240"/>
      <c r="V637" s="1240"/>
      <c r="W637" s="1240"/>
      <c r="X637" s="1240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240"/>
      <c r="D638" s="1240"/>
      <c r="E638" s="1240"/>
      <c r="F638" s="1240"/>
      <c r="G638" s="1240"/>
      <c r="H638" s="1240"/>
      <c r="I638" s="1240"/>
      <c r="J638" s="1240"/>
      <c r="K638" s="1240"/>
      <c r="L638" s="1240"/>
      <c r="M638" s="1240"/>
      <c r="N638" s="1240"/>
      <c r="O638" s="1240"/>
      <c r="P638" s="1240"/>
      <c r="Q638" s="1240"/>
      <c r="R638" s="1240"/>
      <c r="S638" s="1240"/>
      <c r="T638" s="1240"/>
      <c r="U638" s="1240"/>
      <c r="V638" s="1240"/>
      <c r="W638" s="1240"/>
      <c r="X638" s="1240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240"/>
      <c r="D639" s="1240"/>
      <c r="E639" s="1240"/>
      <c r="F639" s="1240"/>
      <c r="G639" s="1240"/>
      <c r="H639" s="1240"/>
      <c r="I639" s="1240"/>
      <c r="J639" s="1240"/>
      <c r="K639" s="1240"/>
      <c r="L639" s="1240"/>
      <c r="M639" s="1240"/>
      <c r="N639" s="1240"/>
      <c r="O639" s="1240"/>
      <c r="P639" s="1240"/>
      <c r="Q639" s="1240"/>
      <c r="R639" s="1240"/>
      <c r="S639" s="1240"/>
      <c r="T639" s="1240"/>
      <c r="U639" s="1240"/>
      <c r="V639" s="1240"/>
      <c r="W639" s="1240"/>
      <c r="X639" s="1240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240"/>
      <c r="D640" s="1240"/>
      <c r="E640" s="1240"/>
      <c r="F640" s="1240"/>
      <c r="G640" s="1240"/>
      <c r="H640" s="1240"/>
      <c r="I640" s="1240"/>
      <c r="J640" s="1240"/>
      <c r="K640" s="1240"/>
      <c r="L640" s="1240"/>
      <c r="M640" s="1240"/>
      <c r="N640" s="1240"/>
      <c r="O640" s="1240"/>
      <c r="P640" s="1240"/>
      <c r="Q640" s="1240"/>
      <c r="R640" s="1240"/>
      <c r="S640" s="1240"/>
      <c r="T640" s="1240"/>
      <c r="U640" s="1240"/>
      <c r="V640" s="1240"/>
      <c r="W640" s="1240"/>
      <c r="X640" s="1240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240"/>
      <c r="D641" s="1240"/>
      <c r="E641" s="1240"/>
      <c r="F641" s="1240"/>
      <c r="G641" s="1240"/>
      <c r="H641" s="1240"/>
      <c r="I641" s="1240"/>
      <c r="J641" s="1240"/>
      <c r="K641" s="1240"/>
      <c r="L641" s="1240"/>
      <c r="M641" s="1240"/>
      <c r="N641" s="1240"/>
      <c r="O641" s="1240"/>
      <c r="P641" s="1240"/>
      <c r="Q641" s="1240"/>
      <c r="R641" s="1240"/>
      <c r="S641" s="1240"/>
      <c r="T641" s="1240"/>
      <c r="U641" s="1240"/>
      <c r="V641" s="1240"/>
      <c r="W641" s="1240"/>
      <c r="X641" s="1240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240"/>
      <c r="D642" s="1240"/>
      <c r="E642" s="1240"/>
      <c r="F642" s="1240"/>
      <c r="G642" s="1240"/>
      <c r="H642" s="1240"/>
      <c r="I642" s="1240"/>
      <c r="J642" s="1240"/>
      <c r="K642" s="1240"/>
      <c r="L642" s="1240"/>
      <c r="M642" s="1240"/>
      <c r="N642" s="1240"/>
      <c r="O642" s="1240"/>
      <c r="P642" s="1240"/>
      <c r="Q642" s="1240"/>
      <c r="R642" s="1240"/>
      <c r="S642" s="1240"/>
      <c r="T642" s="1240"/>
      <c r="U642" s="1240"/>
      <c r="V642" s="1240"/>
      <c r="W642" s="1240"/>
      <c r="X642" s="1240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240"/>
      <c r="D643" s="1240"/>
      <c r="E643" s="1240"/>
      <c r="F643" s="1240"/>
      <c r="G643" s="1240"/>
      <c r="H643" s="1240"/>
      <c r="I643" s="1240"/>
      <c r="J643" s="1240"/>
      <c r="K643" s="1240"/>
      <c r="L643" s="1240"/>
      <c r="M643" s="1240"/>
      <c r="N643" s="1240"/>
      <c r="O643" s="1240"/>
      <c r="P643" s="1240"/>
      <c r="Q643" s="1240"/>
      <c r="R643" s="1240"/>
      <c r="S643" s="1240"/>
      <c r="T643" s="1240"/>
      <c r="U643" s="1240"/>
      <c r="V643" s="1240"/>
      <c r="W643" s="1240"/>
      <c r="X643" s="1240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240"/>
      <c r="D644" s="1240"/>
      <c r="E644" s="1240"/>
      <c r="F644" s="1240"/>
      <c r="G644" s="1240"/>
      <c r="H644" s="1240"/>
      <c r="I644" s="1240"/>
      <c r="J644" s="1240"/>
      <c r="K644" s="1240"/>
      <c r="L644" s="1240"/>
      <c r="M644" s="1240"/>
      <c r="N644" s="1240"/>
      <c r="O644" s="1240"/>
      <c r="P644" s="1240"/>
      <c r="Q644" s="1240"/>
      <c r="R644" s="1240"/>
      <c r="S644" s="1240"/>
      <c r="T644" s="1240"/>
      <c r="U644" s="1240"/>
      <c r="V644" s="1240"/>
      <c r="W644" s="1240"/>
      <c r="X644" s="1240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240"/>
      <c r="D645" s="1240"/>
      <c r="E645" s="1240"/>
      <c r="F645" s="1240"/>
      <c r="G645" s="1240"/>
      <c r="H645" s="1240"/>
      <c r="I645" s="1240"/>
      <c r="J645" s="1240"/>
      <c r="K645" s="1240"/>
      <c r="L645" s="1240"/>
      <c r="M645" s="1240"/>
      <c r="N645" s="1240"/>
      <c r="O645" s="1240"/>
      <c r="P645" s="1240"/>
      <c r="Q645" s="1240"/>
      <c r="R645" s="1240"/>
      <c r="S645" s="1240"/>
      <c r="T645" s="1240"/>
      <c r="U645" s="1240"/>
      <c r="V645" s="1240"/>
      <c r="W645" s="1240"/>
      <c r="X645" s="1240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240"/>
      <c r="D646" s="1240"/>
      <c r="E646" s="1240"/>
      <c r="F646" s="1240"/>
      <c r="G646" s="1240"/>
      <c r="H646" s="1240"/>
      <c r="I646" s="1240"/>
      <c r="J646" s="1240"/>
      <c r="K646" s="1240"/>
      <c r="L646" s="1240"/>
      <c r="M646" s="1240"/>
      <c r="N646" s="1240"/>
      <c r="O646" s="1240"/>
      <c r="P646" s="1240"/>
      <c r="Q646" s="1240"/>
      <c r="R646" s="1240"/>
      <c r="S646" s="1240"/>
      <c r="T646" s="1240"/>
      <c r="U646" s="1240"/>
      <c r="V646" s="1240"/>
      <c r="W646" s="1240"/>
      <c r="X646" s="1240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240"/>
      <c r="D647" s="1240"/>
      <c r="E647" s="1240"/>
      <c r="F647" s="1240"/>
      <c r="G647" s="1240"/>
      <c r="H647" s="1240"/>
      <c r="I647" s="1240"/>
      <c r="J647" s="1240"/>
      <c r="K647" s="1240"/>
      <c r="L647" s="1240"/>
      <c r="M647" s="1240"/>
      <c r="N647" s="1240"/>
      <c r="O647" s="1240"/>
      <c r="P647" s="1240"/>
      <c r="Q647" s="1240"/>
      <c r="R647" s="1240"/>
      <c r="S647" s="1240"/>
      <c r="T647" s="1240"/>
      <c r="U647" s="1240"/>
      <c r="V647" s="1240"/>
      <c r="W647" s="1240"/>
      <c r="X647" s="1240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240"/>
      <c r="D648" s="1240"/>
      <c r="E648" s="1240"/>
      <c r="F648" s="1240"/>
      <c r="G648" s="1240"/>
      <c r="H648" s="1240"/>
      <c r="I648" s="1240"/>
      <c r="J648" s="1240"/>
      <c r="K648" s="1240"/>
      <c r="L648" s="1240"/>
      <c r="M648" s="1240"/>
      <c r="N648" s="1240"/>
      <c r="O648" s="1240"/>
      <c r="P648" s="1240"/>
      <c r="Q648" s="1240"/>
      <c r="R648" s="1240"/>
      <c r="S648" s="1240"/>
      <c r="T648" s="1240"/>
      <c r="U648" s="1240"/>
      <c r="V648" s="1240"/>
      <c r="W648" s="1240"/>
      <c r="X648" s="1240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240"/>
      <c r="D649" s="1240"/>
      <c r="E649" s="1240"/>
      <c r="F649" s="1240"/>
      <c r="G649" s="1240"/>
      <c r="H649" s="1240"/>
      <c r="I649" s="1240"/>
      <c r="J649" s="1240"/>
      <c r="K649" s="1240"/>
      <c r="L649" s="1240"/>
      <c r="M649" s="1240"/>
      <c r="N649" s="1240"/>
      <c r="O649" s="1240"/>
      <c r="P649" s="1240"/>
      <c r="Q649" s="1240"/>
      <c r="R649" s="1240"/>
      <c r="S649" s="1240"/>
      <c r="T649" s="1240"/>
      <c r="U649" s="1240"/>
      <c r="V649" s="1240"/>
      <c r="W649" s="1240"/>
      <c r="X649" s="1240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259"/>
      <c r="D650" s="1240"/>
      <c r="E650" s="1240"/>
      <c r="F650" s="1240"/>
      <c r="G650" s="1240"/>
      <c r="H650" s="1240"/>
      <c r="I650" s="1240"/>
      <c r="J650" s="1240"/>
      <c r="K650" s="1240"/>
      <c r="L650" s="1240"/>
      <c r="M650" s="1240"/>
      <c r="N650" s="1240"/>
      <c r="O650" s="1260"/>
      <c r="P650" s="1240"/>
      <c r="Q650" s="1240"/>
      <c r="R650" s="1240"/>
      <c r="S650" s="1240"/>
      <c r="T650" s="1240"/>
      <c r="U650" s="1240"/>
      <c r="V650" s="1240"/>
      <c r="W650" s="1240"/>
      <c r="X650" s="1240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249"/>
      <c r="D651" s="1253"/>
      <c r="E651" s="1253"/>
      <c r="F651" s="1253"/>
      <c r="G651" s="1253"/>
      <c r="H651" s="1253"/>
      <c r="I651" s="1253"/>
      <c r="J651" s="1253"/>
      <c r="K651" s="1253"/>
      <c r="L651" s="1253"/>
      <c r="M651" s="1253"/>
      <c r="N651" s="1253"/>
      <c r="O651" s="1253"/>
      <c r="P651" s="1253"/>
      <c r="Q651" s="1261"/>
      <c r="R651" s="1253"/>
      <c r="S651" s="1253"/>
      <c r="T651" s="1240"/>
      <c r="U651" s="1240"/>
      <c r="V651" s="1240"/>
      <c r="W651" s="1240"/>
      <c r="X651" s="1240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240"/>
      <c r="D652" s="1250"/>
      <c r="E652" s="1250"/>
      <c r="F652" s="1262"/>
      <c r="G652" s="1250"/>
      <c r="H652" s="1250"/>
      <c r="I652" s="1262"/>
      <c r="J652" s="1254"/>
      <c r="K652" s="1254"/>
      <c r="L652" s="1263"/>
      <c r="M652" s="1254"/>
      <c r="N652" s="1254"/>
      <c r="O652" s="1254"/>
      <c r="P652" s="1254"/>
      <c r="Q652" s="1251"/>
      <c r="R652" s="1250"/>
      <c r="S652" s="1262"/>
      <c r="T652" s="1240"/>
      <c r="U652" s="1240"/>
      <c r="V652" s="1240"/>
      <c r="W652" s="1240"/>
      <c r="X652" s="1240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264"/>
      <c r="D653" s="1240"/>
      <c r="E653" s="1240"/>
      <c r="F653" s="1253"/>
      <c r="G653" s="1240"/>
      <c r="H653" s="1240"/>
      <c r="I653" s="1253"/>
      <c r="J653" s="1253"/>
      <c r="K653" s="1253"/>
      <c r="L653" s="1240"/>
      <c r="M653" s="1253"/>
      <c r="N653" s="1253"/>
      <c r="O653" s="1240"/>
      <c r="P653" s="1253"/>
      <c r="Q653" s="1253"/>
      <c r="R653" s="1240"/>
      <c r="S653" s="1253"/>
      <c r="T653" s="1240"/>
      <c r="U653" s="1240"/>
      <c r="V653" s="1240"/>
      <c r="W653" s="1240"/>
      <c r="X653" s="1240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240"/>
      <c r="D654" s="1240"/>
      <c r="E654" s="1240"/>
      <c r="F654" s="1246"/>
      <c r="G654" s="1240"/>
      <c r="H654" s="1240"/>
      <c r="I654" s="1246"/>
      <c r="J654" s="1246"/>
      <c r="K654" s="1246"/>
      <c r="L654" s="1246"/>
      <c r="M654" s="1246"/>
      <c r="N654" s="1246"/>
      <c r="O654" s="1246"/>
      <c r="P654" s="1246"/>
      <c r="Q654" s="1246"/>
      <c r="R654" s="1246"/>
      <c r="S654" s="1246"/>
      <c r="T654" s="1240"/>
      <c r="U654" s="1240"/>
      <c r="V654" s="1240"/>
      <c r="W654" s="1240"/>
      <c r="X654" s="1240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45"/>
      <c r="D655" s="1245"/>
      <c r="E655" s="1245"/>
      <c r="F655" s="1248"/>
      <c r="G655" s="1245"/>
      <c r="H655" s="1245"/>
      <c r="I655" s="1248"/>
      <c r="J655" s="1248"/>
      <c r="K655" s="1248"/>
      <c r="L655" s="1248"/>
      <c r="M655" s="1248"/>
      <c r="N655" s="1248"/>
      <c r="O655" s="1248"/>
      <c r="P655" s="1248"/>
      <c r="Q655" s="1248"/>
      <c r="R655" s="1248"/>
      <c r="S655" s="1248"/>
      <c r="T655" s="1240"/>
      <c r="U655" s="1240"/>
      <c r="V655" s="1240"/>
      <c r="W655" s="1240"/>
      <c r="X655" s="1240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240"/>
      <c r="D656" s="1240"/>
      <c r="E656" s="1240"/>
      <c r="F656" s="1240"/>
      <c r="G656" s="1240"/>
      <c r="H656" s="1240"/>
      <c r="I656" s="1240"/>
      <c r="J656" s="1246"/>
      <c r="K656" s="1246"/>
      <c r="L656" s="1246"/>
      <c r="M656" s="1246"/>
      <c r="N656" s="1246"/>
      <c r="O656" s="1246"/>
      <c r="P656" s="1246"/>
      <c r="Q656" s="1246"/>
      <c r="R656" s="1246"/>
      <c r="S656" s="1246"/>
      <c r="T656" s="1240"/>
      <c r="U656" s="1240"/>
      <c r="V656" s="1240"/>
      <c r="W656" s="1240"/>
      <c r="X656" s="1240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40"/>
      <c r="D657" s="1240"/>
      <c r="E657" s="1240"/>
      <c r="F657" s="1240"/>
      <c r="G657" s="1240"/>
      <c r="H657" s="1240"/>
      <c r="I657" s="1240"/>
      <c r="J657" s="1240"/>
      <c r="K657" s="1246"/>
      <c r="L657" s="1246"/>
      <c r="M657" s="1240"/>
      <c r="N657" s="1246"/>
      <c r="O657" s="1246"/>
      <c r="P657" s="1240"/>
      <c r="Q657" s="1246"/>
      <c r="R657" s="1246"/>
      <c r="S657" s="1240"/>
      <c r="T657" s="1240"/>
      <c r="U657" s="1240"/>
      <c r="V657" s="1240"/>
      <c r="W657" s="1240"/>
      <c r="X657" s="1240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240"/>
      <c r="D658" s="1240"/>
      <c r="E658" s="1240"/>
      <c r="F658" s="1240"/>
      <c r="G658" s="1240"/>
      <c r="H658" s="1240"/>
      <c r="I658" s="1240"/>
      <c r="J658" s="1240"/>
      <c r="K658" s="1246"/>
      <c r="L658" s="1246"/>
      <c r="M658" s="1240"/>
      <c r="N658" s="1246"/>
      <c r="O658" s="1246"/>
      <c r="P658" s="1240"/>
      <c r="Q658" s="1246"/>
      <c r="R658" s="1246"/>
      <c r="S658" s="1240"/>
      <c r="T658" s="1240"/>
      <c r="U658" s="1240"/>
      <c r="V658" s="1240"/>
      <c r="W658" s="1240"/>
      <c r="X658" s="1240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240"/>
      <c r="D659" s="1240"/>
      <c r="E659" s="1240"/>
      <c r="F659" s="1240"/>
      <c r="G659" s="1240"/>
      <c r="H659" s="1240"/>
      <c r="I659" s="1240"/>
      <c r="J659" s="1240"/>
      <c r="K659" s="1246"/>
      <c r="L659" s="1246"/>
      <c r="M659" s="1240"/>
      <c r="N659" s="1246"/>
      <c r="O659" s="1246"/>
      <c r="P659" s="1240"/>
      <c r="Q659" s="1246"/>
      <c r="R659" s="1246"/>
      <c r="S659" s="1240"/>
      <c r="T659" s="1240"/>
      <c r="U659" s="1240"/>
      <c r="V659" s="1240"/>
      <c r="W659" s="1240"/>
      <c r="X659" s="1240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240"/>
      <c r="D660" s="1240"/>
      <c r="E660" s="1240"/>
      <c r="F660" s="1240"/>
      <c r="G660" s="1240"/>
      <c r="H660" s="1240"/>
      <c r="I660" s="1240"/>
      <c r="J660" s="1240"/>
      <c r="K660" s="1246"/>
      <c r="L660" s="1246"/>
      <c r="M660" s="1240"/>
      <c r="N660" s="1246"/>
      <c r="O660" s="1246"/>
      <c r="P660" s="1240"/>
      <c r="Q660" s="1246"/>
      <c r="R660" s="1246"/>
      <c r="S660" s="1240"/>
      <c r="T660" s="1240"/>
      <c r="U660" s="1240"/>
      <c r="V660" s="1240"/>
      <c r="W660" s="1240"/>
      <c r="X660" s="1240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240"/>
      <c r="D661" s="1240"/>
      <c r="E661" s="1240"/>
      <c r="F661" s="1240"/>
      <c r="G661" s="1240"/>
      <c r="H661" s="1240"/>
      <c r="I661" s="1240"/>
      <c r="J661" s="1240"/>
      <c r="K661" s="1246"/>
      <c r="L661" s="1246"/>
      <c r="M661" s="1240"/>
      <c r="N661" s="1246"/>
      <c r="O661" s="1246"/>
      <c r="P661" s="1240"/>
      <c r="Q661" s="1246"/>
      <c r="R661" s="1246"/>
      <c r="S661" s="1240"/>
      <c r="T661" s="1240"/>
      <c r="U661" s="1240"/>
      <c r="V661" s="1240"/>
      <c r="W661" s="1240"/>
      <c r="X661" s="1240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240"/>
      <c r="D662" s="1240"/>
      <c r="E662" s="1240"/>
      <c r="F662" s="1240"/>
      <c r="G662" s="1240"/>
      <c r="H662" s="1240"/>
      <c r="I662" s="1240"/>
      <c r="J662" s="1240"/>
      <c r="K662" s="1246"/>
      <c r="L662" s="1248"/>
      <c r="M662" s="1240"/>
      <c r="N662" s="1246"/>
      <c r="O662" s="1246"/>
      <c r="P662" s="1240"/>
      <c r="Q662" s="1246"/>
      <c r="R662" s="1248"/>
      <c r="S662" s="1240"/>
      <c r="T662" s="1240"/>
      <c r="U662" s="1240"/>
      <c r="V662" s="1240"/>
      <c r="W662" s="1240"/>
      <c r="X662" s="1240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240"/>
      <c r="D663" s="1240"/>
      <c r="E663" s="1240"/>
      <c r="F663" s="1240"/>
      <c r="G663" s="1240"/>
      <c r="H663" s="1240"/>
      <c r="I663" s="1240"/>
      <c r="J663" s="1240"/>
      <c r="K663" s="1246"/>
      <c r="L663" s="1246"/>
      <c r="M663" s="1240"/>
      <c r="N663" s="1246"/>
      <c r="O663" s="1246"/>
      <c r="P663" s="1240"/>
      <c r="Q663" s="1246"/>
      <c r="R663" s="1246"/>
      <c r="S663" s="1240"/>
      <c r="T663" s="1240"/>
      <c r="U663" s="1240"/>
      <c r="V663" s="1240"/>
      <c r="W663" s="1240"/>
      <c r="X663" s="1240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240"/>
      <c r="D664" s="1240"/>
      <c r="E664" s="1240"/>
      <c r="F664" s="1240"/>
      <c r="G664" s="1240"/>
      <c r="H664" s="1240"/>
      <c r="I664" s="1240"/>
      <c r="J664" s="1240"/>
      <c r="K664" s="1240"/>
      <c r="L664" s="1240"/>
      <c r="M664" s="1240"/>
      <c r="N664" s="1248"/>
      <c r="O664" s="1248"/>
      <c r="P664" s="1240"/>
      <c r="Q664" s="1248"/>
      <c r="R664" s="1240"/>
      <c r="S664" s="1240"/>
      <c r="T664" s="1240"/>
      <c r="U664" s="1240"/>
      <c r="V664" s="1240"/>
      <c r="W664" s="1240"/>
      <c r="X664" s="1240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240"/>
      <c r="D665" s="1240"/>
      <c r="E665" s="1240"/>
      <c r="F665" s="1240"/>
      <c r="G665" s="1240"/>
      <c r="H665" s="1240"/>
      <c r="I665" s="1240"/>
      <c r="J665" s="1240"/>
      <c r="K665" s="1248"/>
      <c r="L665" s="1248"/>
      <c r="M665" s="1240"/>
      <c r="N665" s="1246"/>
      <c r="O665" s="1246"/>
      <c r="P665" s="1240"/>
      <c r="Q665" s="1246"/>
      <c r="R665" s="1248"/>
      <c r="S665" s="1240"/>
      <c r="T665" s="1240"/>
      <c r="U665" s="1240"/>
      <c r="V665" s="1240"/>
      <c r="W665" s="1240"/>
      <c r="X665" s="1240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240"/>
      <c r="D666" s="1240"/>
      <c r="E666" s="1240"/>
      <c r="F666" s="1240"/>
      <c r="G666" s="1240"/>
      <c r="H666" s="1240"/>
      <c r="I666" s="1240"/>
      <c r="J666" s="1240"/>
      <c r="K666" s="1246"/>
      <c r="L666" s="1246"/>
      <c r="M666" s="1240"/>
      <c r="N666" s="1246"/>
      <c r="O666" s="1246"/>
      <c r="P666" s="1240"/>
      <c r="Q666" s="1246"/>
      <c r="R666" s="1246"/>
      <c r="S666" s="1240"/>
      <c r="T666" s="1240"/>
      <c r="U666" s="1240"/>
      <c r="V666" s="1240"/>
      <c r="W666" s="1240"/>
      <c r="X666" s="1240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240"/>
      <c r="D667" s="1240"/>
      <c r="E667" s="1240"/>
      <c r="F667" s="1240"/>
      <c r="G667" s="1240"/>
      <c r="H667" s="1240"/>
      <c r="I667" s="1240"/>
      <c r="J667" s="1240"/>
      <c r="K667" s="1246"/>
      <c r="L667" s="1246"/>
      <c r="M667" s="1240"/>
      <c r="N667" s="1246"/>
      <c r="O667" s="1246"/>
      <c r="P667" s="1240"/>
      <c r="Q667" s="1246"/>
      <c r="R667" s="1246"/>
      <c r="S667" s="1240"/>
      <c r="T667" s="1240"/>
      <c r="U667" s="1240"/>
      <c r="V667" s="1240"/>
      <c r="W667" s="1240"/>
      <c r="X667" s="1240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240"/>
      <c r="D668" s="1240"/>
      <c r="E668" s="1240"/>
      <c r="F668" s="1240"/>
      <c r="G668" s="1240"/>
      <c r="H668" s="1240"/>
      <c r="I668" s="1240"/>
      <c r="J668" s="1240"/>
      <c r="K668" s="1246"/>
      <c r="L668" s="1246"/>
      <c r="M668" s="1240"/>
      <c r="N668" s="1246"/>
      <c r="O668" s="1246"/>
      <c r="P668" s="1240"/>
      <c r="Q668" s="1246"/>
      <c r="R668" s="1246"/>
      <c r="S668" s="1240"/>
      <c r="T668" s="1240"/>
      <c r="U668" s="1240"/>
      <c r="V668" s="1240"/>
      <c r="W668" s="1240"/>
      <c r="X668" s="1240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240"/>
      <c r="D669" s="1240"/>
      <c r="E669" s="1240"/>
      <c r="F669" s="1240"/>
      <c r="G669" s="1240"/>
      <c r="H669" s="1240"/>
      <c r="I669" s="1240"/>
      <c r="J669" s="1240"/>
      <c r="K669" s="1246"/>
      <c r="L669" s="1246"/>
      <c r="M669" s="1240"/>
      <c r="N669" s="1246"/>
      <c r="O669" s="1246"/>
      <c r="P669" s="1240"/>
      <c r="Q669" s="1246"/>
      <c r="R669" s="1246"/>
      <c r="S669" s="1240"/>
      <c r="T669" s="1240"/>
      <c r="U669" s="1240"/>
      <c r="V669" s="1240"/>
      <c r="W669" s="1240"/>
      <c r="X669" s="1240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240"/>
      <c r="D670" s="1240"/>
      <c r="E670" s="1240"/>
      <c r="F670" s="1240"/>
      <c r="G670" s="1240"/>
      <c r="H670" s="1240"/>
      <c r="I670" s="1240"/>
      <c r="J670" s="1240"/>
      <c r="K670" s="1246"/>
      <c r="L670" s="1246"/>
      <c r="M670" s="1240"/>
      <c r="N670" s="1246"/>
      <c r="O670" s="1246"/>
      <c r="P670" s="1240"/>
      <c r="Q670" s="1246"/>
      <c r="R670" s="1246"/>
      <c r="S670" s="1240"/>
      <c r="T670" s="1240"/>
      <c r="U670" s="1240"/>
      <c r="V670" s="1240"/>
      <c r="W670" s="1240"/>
      <c r="X670" s="1240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240"/>
      <c r="D671" s="1240"/>
      <c r="E671" s="1240"/>
      <c r="F671" s="1240"/>
      <c r="G671" s="1240"/>
      <c r="H671" s="1240"/>
      <c r="I671" s="1240"/>
      <c r="J671" s="1240"/>
      <c r="K671" s="1246"/>
      <c r="L671" s="1246"/>
      <c r="M671" s="1240"/>
      <c r="N671" s="1246"/>
      <c r="O671" s="1246"/>
      <c r="P671" s="1240"/>
      <c r="Q671" s="1246"/>
      <c r="R671" s="1246"/>
      <c r="S671" s="1240"/>
      <c r="T671" s="1240"/>
      <c r="U671" s="1240"/>
      <c r="V671" s="1240"/>
      <c r="W671" s="1240"/>
      <c r="X671" s="1240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240"/>
      <c r="D672" s="1240"/>
      <c r="E672" s="1240"/>
      <c r="F672" s="1240"/>
      <c r="G672" s="1240"/>
      <c r="H672" s="1240"/>
      <c r="I672" s="1240"/>
      <c r="J672" s="1240"/>
      <c r="K672" s="1246"/>
      <c r="L672" s="1246"/>
      <c r="M672" s="1240"/>
      <c r="N672" s="1246"/>
      <c r="O672" s="1246"/>
      <c r="P672" s="1240"/>
      <c r="Q672" s="1246"/>
      <c r="R672" s="1246"/>
      <c r="S672" s="1240"/>
      <c r="T672" s="1240"/>
      <c r="U672" s="1240"/>
      <c r="V672" s="1240"/>
      <c r="W672" s="1240"/>
      <c r="X672" s="1240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240"/>
      <c r="D673" s="1240"/>
      <c r="E673" s="1240"/>
      <c r="F673" s="1240"/>
      <c r="G673" s="1240"/>
      <c r="H673" s="1240"/>
      <c r="I673" s="1240"/>
      <c r="J673" s="1240"/>
      <c r="K673" s="1246"/>
      <c r="L673" s="1246"/>
      <c r="M673" s="1240"/>
      <c r="N673" s="1246"/>
      <c r="O673" s="1246"/>
      <c r="P673" s="1240"/>
      <c r="Q673" s="1246"/>
      <c r="R673" s="1246"/>
      <c r="S673" s="1240"/>
      <c r="T673" s="1240"/>
      <c r="U673" s="1240"/>
      <c r="V673" s="1240"/>
      <c r="W673" s="1240"/>
      <c r="X673" s="1240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240"/>
      <c r="D674" s="1240"/>
      <c r="E674" s="1240"/>
      <c r="F674" s="1240"/>
      <c r="G674" s="1240"/>
      <c r="H674" s="1240"/>
      <c r="I674" s="1240"/>
      <c r="J674" s="1240"/>
      <c r="K674" s="1246"/>
      <c r="L674" s="1246"/>
      <c r="M674" s="1240"/>
      <c r="N674" s="1248"/>
      <c r="O674" s="1248"/>
      <c r="P674" s="1240"/>
      <c r="Q674" s="1248"/>
      <c r="R674" s="1246"/>
      <c r="S674" s="1240"/>
      <c r="T674" s="1240"/>
      <c r="U674" s="1240"/>
      <c r="V674" s="1240"/>
      <c r="W674" s="1240"/>
      <c r="X674" s="1240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240"/>
      <c r="D675" s="1240"/>
      <c r="E675" s="1240"/>
      <c r="F675" s="1240"/>
      <c r="G675" s="1240"/>
      <c r="H675" s="1240"/>
      <c r="I675" s="1240"/>
      <c r="J675" s="1240"/>
      <c r="K675" s="1248"/>
      <c r="L675" s="1248"/>
      <c r="M675" s="1240"/>
      <c r="N675" s="1246"/>
      <c r="O675" s="1246"/>
      <c r="P675" s="1240"/>
      <c r="Q675" s="1246"/>
      <c r="R675" s="1248"/>
      <c r="S675" s="1240"/>
      <c r="T675" s="1240"/>
      <c r="U675" s="1240"/>
      <c r="V675" s="1240"/>
      <c r="W675" s="1240"/>
      <c r="X675" s="1240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240"/>
      <c r="D676" s="1240"/>
      <c r="E676" s="1240"/>
      <c r="F676" s="1240"/>
      <c r="G676" s="1240"/>
      <c r="H676" s="1240"/>
      <c r="I676" s="1240"/>
      <c r="J676" s="1240"/>
      <c r="K676" s="1246"/>
      <c r="L676" s="1246"/>
      <c r="M676" s="1240"/>
      <c r="N676" s="1246"/>
      <c r="O676" s="1246"/>
      <c r="P676" s="1240"/>
      <c r="Q676" s="1246"/>
      <c r="R676" s="1246"/>
      <c r="S676" s="1240"/>
      <c r="T676" s="1240"/>
      <c r="U676" s="1240"/>
      <c r="V676" s="1240"/>
      <c r="W676" s="1240"/>
      <c r="X676" s="1240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240"/>
      <c r="D677" s="1240"/>
      <c r="E677" s="1240"/>
      <c r="F677" s="1240"/>
      <c r="G677" s="1240"/>
      <c r="H677" s="1240"/>
      <c r="I677" s="1240"/>
      <c r="J677" s="1240"/>
      <c r="K677" s="1246"/>
      <c r="L677" s="1246"/>
      <c r="M677" s="1240"/>
      <c r="N677" s="1246"/>
      <c r="O677" s="1246"/>
      <c r="P677" s="1240"/>
      <c r="Q677" s="1246"/>
      <c r="R677" s="1246"/>
      <c r="S677" s="1240"/>
      <c r="T677" s="1240"/>
      <c r="U677" s="1240"/>
      <c r="V677" s="1240"/>
      <c r="W677" s="1240"/>
      <c r="X677" s="1240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240"/>
      <c r="D678" s="1240"/>
      <c r="E678" s="1240"/>
      <c r="F678" s="1240"/>
      <c r="G678" s="1240"/>
      <c r="H678" s="1240"/>
      <c r="I678" s="1240"/>
      <c r="J678" s="1240"/>
      <c r="K678" s="1246"/>
      <c r="L678" s="1246"/>
      <c r="M678" s="1240"/>
      <c r="N678" s="1246"/>
      <c r="O678" s="1246"/>
      <c r="P678" s="1240"/>
      <c r="Q678" s="1246"/>
      <c r="R678" s="1246"/>
      <c r="S678" s="1240"/>
      <c r="T678" s="1240"/>
      <c r="U678" s="1240"/>
      <c r="V678" s="1240"/>
      <c r="W678" s="1240"/>
      <c r="X678" s="1240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240"/>
      <c r="D679" s="1240"/>
      <c r="E679" s="1240"/>
      <c r="F679" s="1240"/>
      <c r="G679" s="1240"/>
      <c r="H679" s="1240"/>
      <c r="I679" s="1240"/>
      <c r="J679" s="1240"/>
      <c r="K679" s="1246"/>
      <c r="L679" s="1246"/>
      <c r="M679" s="1240"/>
      <c r="N679" s="1246"/>
      <c r="O679" s="1246"/>
      <c r="P679" s="1240"/>
      <c r="Q679" s="1246"/>
      <c r="R679" s="1246"/>
      <c r="S679" s="1240"/>
      <c r="T679" s="1240"/>
      <c r="U679" s="1240"/>
      <c r="V679" s="1240"/>
      <c r="W679" s="1240"/>
      <c r="X679" s="1240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240"/>
      <c r="D680" s="1240"/>
      <c r="E680" s="1240"/>
      <c r="F680" s="1240"/>
      <c r="G680" s="1240"/>
      <c r="H680" s="1240"/>
      <c r="I680" s="1240"/>
      <c r="J680" s="1240"/>
      <c r="K680" s="1246"/>
      <c r="L680" s="1246"/>
      <c r="M680" s="1240"/>
      <c r="N680" s="1246"/>
      <c r="O680" s="1246"/>
      <c r="P680" s="1240"/>
      <c r="Q680" s="1246"/>
      <c r="R680" s="1246"/>
      <c r="S680" s="1240"/>
      <c r="T680" s="1240"/>
      <c r="U680" s="1240"/>
      <c r="V680" s="1240"/>
      <c r="W680" s="1240"/>
      <c r="X680" s="1240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240"/>
      <c r="D681" s="1240"/>
      <c r="E681" s="1240"/>
      <c r="F681" s="1240"/>
      <c r="G681" s="1240"/>
      <c r="H681" s="1240"/>
      <c r="I681" s="1240"/>
      <c r="J681" s="1240"/>
      <c r="K681" s="1246"/>
      <c r="L681" s="1246"/>
      <c r="M681" s="1240"/>
      <c r="N681" s="1246"/>
      <c r="O681" s="1246"/>
      <c r="P681" s="1240"/>
      <c r="Q681" s="1246"/>
      <c r="R681" s="1246"/>
      <c r="S681" s="1240"/>
      <c r="T681" s="1240"/>
      <c r="U681" s="1240"/>
      <c r="V681" s="1240"/>
      <c r="W681" s="1240"/>
      <c r="X681" s="1240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240"/>
      <c r="D682" s="1240"/>
      <c r="E682" s="1240"/>
      <c r="F682" s="1240"/>
      <c r="G682" s="1240"/>
      <c r="H682" s="1240"/>
      <c r="I682" s="1240"/>
      <c r="J682" s="1240"/>
      <c r="K682" s="1246"/>
      <c r="L682" s="1246"/>
      <c r="M682" s="1240"/>
      <c r="N682" s="1246"/>
      <c r="O682" s="1246"/>
      <c r="P682" s="1240"/>
      <c r="Q682" s="1246"/>
      <c r="R682" s="1246"/>
      <c r="S682" s="1240"/>
      <c r="T682" s="1240"/>
      <c r="U682" s="1240"/>
      <c r="V682" s="1240"/>
      <c r="W682" s="1240"/>
      <c r="X682" s="1240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240"/>
      <c r="D683" s="1240"/>
      <c r="E683" s="1240"/>
      <c r="F683" s="1240"/>
      <c r="G683" s="1240"/>
      <c r="H683" s="1240"/>
      <c r="I683" s="1240"/>
      <c r="J683" s="1240"/>
      <c r="K683" s="1246"/>
      <c r="L683" s="1246"/>
      <c r="M683" s="1240"/>
      <c r="N683" s="1246"/>
      <c r="O683" s="1246"/>
      <c r="P683" s="1240"/>
      <c r="Q683" s="1246"/>
      <c r="R683" s="1246"/>
      <c r="S683" s="1240"/>
      <c r="T683" s="1240"/>
      <c r="U683" s="1240"/>
      <c r="V683" s="1240"/>
      <c r="W683" s="1240"/>
      <c r="X683" s="1240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240"/>
      <c r="D684" s="1240"/>
      <c r="E684" s="1240"/>
      <c r="F684" s="1240"/>
      <c r="G684" s="1240"/>
      <c r="H684" s="1240"/>
      <c r="I684" s="1240"/>
      <c r="J684" s="1240"/>
      <c r="K684" s="1246"/>
      <c r="L684" s="1246"/>
      <c r="M684" s="1240"/>
      <c r="N684" s="1246"/>
      <c r="O684" s="1246"/>
      <c r="P684" s="1240"/>
      <c r="Q684" s="1246"/>
      <c r="R684" s="1246"/>
      <c r="S684" s="1240"/>
      <c r="T684" s="1240"/>
      <c r="U684" s="1240"/>
      <c r="V684" s="1240"/>
      <c r="W684" s="1240"/>
      <c r="X684" s="1240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240"/>
      <c r="D685" s="1240"/>
      <c r="E685" s="1240"/>
      <c r="F685" s="1240"/>
      <c r="G685" s="1240"/>
      <c r="H685" s="1240"/>
      <c r="I685" s="1240"/>
      <c r="J685" s="1240"/>
      <c r="K685" s="1246"/>
      <c r="L685" s="1246"/>
      <c r="M685" s="1240"/>
      <c r="N685" s="1246"/>
      <c r="O685" s="1246"/>
      <c r="P685" s="1240"/>
      <c r="Q685" s="1246"/>
      <c r="R685" s="1246"/>
      <c r="S685" s="1240"/>
      <c r="T685" s="1240"/>
      <c r="U685" s="1240"/>
      <c r="V685" s="1240"/>
      <c r="W685" s="1240"/>
      <c r="X685" s="1240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240"/>
      <c r="D686" s="1240"/>
      <c r="E686" s="1240"/>
      <c r="F686" s="1240"/>
      <c r="G686" s="1240"/>
      <c r="H686" s="1240"/>
      <c r="I686" s="1240"/>
      <c r="J686" s="1240"/>
      <c r="K686" s="1246"/>
      <c r="L686" s="1246"/>
      <c r="M686" s="1240"/>
      <c r="N686" s="1246"/>
      <c r="O686" s="1246"/>
      <c r="P686" s="1240"/>
      <c r="Q686" s="1246"/>
      <c r="R686" s="1246"/>
      <c r="S686" s="1240"/>
      <c r="T686" s="1240"/>
      <c r="U686" s="1240"/>
      <c r="V686" s="1240"/>
      <c r="W686" s="1240"/>
      <c r="X686" s="1240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240"/>
      <c r="D687" s="1240"/>
      <c r="E687" s="1240"/>
      <c r="F687" s="1240"/>
      <c r="G687" s="1240"/>
      <c r="H687" s="1240"/>
      <c r="I687" s="1240"/>
      <c r="J687" s="1240"/>
      <c r="K687" s="1246"/>
      <c r="L687" s="1246"/>
      <c r="M687" s="1240"/>
      <c r="N687" s="1246"/>
      <c r="O687" s="1246"/>
      <c r="P687" s="1240"/>
      <c r="Q687" s="1246"/>
      <c r="R687" s="1246"/>
      <c r="S687" s="1240"/>
      <c r="T687" s="1240"/>
      <c r="U687" s="1240"/>
      <c r="V687" s="1240"/>
      <c r="W687" s="1240"/>
      <c r="X687" s="1240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240"/>
      <c r="D688" s="1240"/>
      <c r="E688" s="1240"/>
      <c r="F688" s="1240"/>
      <c r="G688" s="1240"/>
      <c r="H688" s="1240"/>
      <c r="I688" s="1240"/>
      <c r="J688" s="1240"/>
      <c r="K688" s="1246"/>
      <c r="L688" s="1246"/>
      <c r="M688" s="1240"/>
      <c r="N688" s="1246"/>
      <c r="O688" s="1246"/>
      <c r="P688" s="1240"/>
      <c r="Q688" s="1246"/>
      <c r="R688" s="1246"/>
      <c r="S688" s="1240"/>
      <c r="T688" s="1240"/>
      <c r="U688" s="1240"/>
      <c r="V688" s="1240"/>
      <c r="W688" s="1240"/>
      <c r="X688" s="1240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240"/>
      <c r="D689" s="1240"/>
      <c r="E689" s="1240"/>
      <c r="F689" s="1240"/>
      <c r="G689" s="1240"/>
      <c r="H689" s="1240"/>
      <c r="I689" s="1240"/>
      <c r="J689" s="1240"/>
      <c r="K689" s="1246"/>
      <c r="L689" s="1246"/>
      <c r="M689" s="1240"/>
      <c r="N689" s="1240"/>
      <c r="O689" s="1240"/>
      <c r="P689" s="1240"/>
      <c r="Q689" s="1240"/>
      <c r="R689" s="1246"/>
      <c r="S689" s="1240"/>
      <c r="T689" s="1240"/>
      <c r="U689" s="1240"/>
      <c r="V689" s="1240"/>
      <c r="W689" s="1240"/>
      <c r="X689" s="1240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240"/>
      <c r="D690" s="1240"/>
      <c r="E690" s="1240"/>
      <c r="F690" s="1240"/>
      <c r="G690" s="1240"/>
      <c r="H690" s="1240"/>
      <c r="I690" s="1240"/>
      <c r="J690" s="1240"/>
      <c r="K690" s="1246"/>
      <c r="L690" s="1246"/>
      <c r="M690" s="1240"/>
      <c r="N690" s="1248"/>
      <c r="O690" s="1248"/>
      <c r="P690" s="1240"/>
      <c r="Q690" s="1248"/>
      <c r="R690" s="1246"/>
      <c r="S690" s="1240"/>
      <c r="T690" s="1240"/>
      <c r="U690" s="1240"/>
      <c r="V690" s="1240"/>
      <c r="W690" s="1240"/>
      <c r="X690" s="1240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240"/>
      <c r="D691" s="1240"/>
      <c r="E691" s="1240"/>
      <c r="F691" s="1240"/>
      <c r="G691" s="1240"/>
      <c r="H691" s="1240"/>
      <c r="I691" s="1240"/>
      <c r="J691" s="1240"/>
      <c r="K691" s="1240"/>
      <c r="L691" s="1240"/>
      <c r="M691" s="1240"/>
      <c r="N691" s="1246"/>
      <c r="O691" s="1246"/>
      <c r="P691" s="1240"/>
      <c r="Q691" s="1246"/>
      <c r="R691" s="1240"/>
      <c r="S691" s="1240"/>
      <c r="T691" s="1240"/>
      <c r="U691" s="1240"/>
      <c r="V691" s="1240"/>
      <c r="W691" s="1240"/>
      <c r="X691" s="1240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240"/>
      <c r="D692" s="1240"/>
      <c r="E692" s="1240"/>
      <c r="F692" s="1240"/>
      <c r="G692" s="1240"/>
      <c r="H692" s="1240"/>
      <c r="I692" s="1240"/>
      <c r="J692" s="1240"/>
      <c r="K692" s="1248"/>
      <c r="L692" s="1248"/>
      <c r="M692" s="1240"/>
      <c r="N692" s="1246"/>
      <c r="O692" s="1246"/>
      <c r="P692" s="1240"/>
      <c r="Q692" s="1246"/>
      <c r="R692" s="1248"/>
      <c r="S692" s="1240"/>
      <c r="T692" s="1240"/>
      <c r="U692" s="1240"/>
      <c r="V692" s="1240"/>
      <c r="W692" s="1240"/>
      <c r="X692" s="1240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240"/>
      <c r="D693" s="1240"/>
      <c r="E693" s="1240"/>
      <c r="F693" s="1240"/>
      <c r="G693" s="1240"/>
      <c r="H693" s="1240"/>
      <c r="I693" s="1240"/>
      <c r="J693" s="1240"/>
      <c r="K693" s="1246"/>
      <c r="L693" s="1246"/>
      <c r="M693" s="1240"/>
      <c r="N693" s="1246"/>
      <c r="O693" s="1246"/>
      <c r="P693" s="1240"/>
      <c r="Q693" s="1246"/>
      <c r="R693" s="1246"/>
      <c r="S693" s="1240"/>
      <c r="T693" s="1240"/>
      <c r="U693" s="1240"/>
      <c r="V693" s="1240"/>
      <c r="W693" s="1240"/>
      <c r="X693" s="1240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240"/>
      <c r="D694" s="1240"/>
      <c r="E694" s="1240"/>
      <c r="F694" s="1240"/>
      <c r="G694" s="1240"/>
      <c r="H694" s="1240"/>
      <c r="I694" s="1240"/>
      <c r="J694" s="1240"/>
      <c r="K694" s="1246"/>
      <c r="L694" s="1246"/>
      <c r="M694" s="1240"/>
      <c r="N694" s="1246"/>
      <c r="O694" s="1246"/>
      <c r="P694" s="1240"/>
      <c r="Q694" s="1246"/>
      <c r="R694" s="1246"/>
      <c r="S694" s="1240"/>
      <c r="T694" s="1240"/>
      <c r="U694" s="1240"/>
      <c r="V694" s="1240"/>
      <c r="W694" s="1240"/>
      <c r="X694" s="1240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240"/>
      <c r="D695" s="1240"/>
      <c r="E695" s="1240"/>
      <c r="F695" s="1240"/>
      <c r="G695" s="1240"/>
      <c r="H695" s="1240"/>
      <c r="I695" s="1240"/>
      <c r="J695" s="1240"/>
      <c r="K695" s="1246"/>
      <c r="L695" s="1246"/>
      <c r="M695" s="1240"/>
      <c r="N695" s="1246"/>
      <c r="O695" s="1246"/>
      <c r="P695" s="1240"/>
      <c r="Q695" s="1246"/>
      <c r="R695" s="1246"/>
      <c r="S695" s="1240"/>
      <c r="T695" s="1240"/>
      <c r="U695" s="1240"/>
      <c r="V695" s="1240"/>
      <c r="W695" s="1240"/>
      <c r="X695" s="1240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240"/>
      <c r="D696" s="1240"/>
      <c r="E696" s="1240"/>
      <c r="F696" s="1240"/>
      <c r="G696" s="1240"/>
      <c r="H696" s="1240"/>
      <c r="I696" s="1240"/>
      <c r="J696" s="1240"/>
      <c r="K696" s="1246"/>
      <c r="L696" s="1246"/>
      <c r="M696" s="1240"/>
      <c r="N696" s="1246"/>
      <c r="O696" s="1246"/>
      <c r="P696" s="1240"/>
      <c r="Q696" s="1246"/>
      <c r="R696" s="1246"/>
      <c r="S696" s="1240"/>
      <c r="T696" s="1240"/>
      <c r="U696" s="1240"/>
      <c r="V696" s="1240"/>
      <c r="W696" s="1240"/>
      <c r="X696" s="1240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240"/>
      <c r="D697" s="1240"/>
      <c r="E697" s="1240"/>
      <c r="F697" s="1240"/>
      <c r="G697" s="1240"/>
      <c r="H697" s="1240"/>
      <c r="I697" s="1240"/>
      <c r="J697" s="1240"/>
      <c r="K697" s="1246"/>
      <c r="L697" s="1246"/>
      <c r="M697" s="1240"/>
      <c r="N697" s="1246"/>
      <c r="O697" s="1246"/>
      <c r="P697" s="1240"/>
      <c r="Q697" s="1246"/>
      <c r="R697" s="1246"/>
      <c r="S697" s="1240"/>
      <c r="T697" s="1240"/>
      <c r="U697" s="1240"/>
      <c r="V697" s="1240"/>
      <c r="W697" s="1240"/>
      <c r="X697" s="1240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240"/>
      <c r="D698" s="1240"/>
      <c r="E698" s="1240"/>
      <c r="F698" s="1240"/>
      <c r="G698" s="1240"/>
      <c r="H698" s="1240"/>
      <c r="I698" s="1240"/>
      <c r="J698" s="1240"/>
      <c r="K698" s="1246"/>
      <c r="L698" s="1246"/>
      <c r="M698" s="1240"/>
      <c r="N698" s="1246"/>
      <c r="O698" s="1246"/>
      <c r="P698" s="1240"/>
      <c r="Q698" s="1246"/>
      <c r="R698" s="1246"/>
      <c r="S698" s="1240"/>
      <c r="T698" s="1240"/>
      <c r="U698" s="1240"/>
      <c r="V698" s="1240"/>
      <c r="W698" s="1240"/>
      <c r="X698" s="1240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240"/>
      <c r="D699" s="1240"/>
      <c r="E699" s="1240"/>
      <c r="F699" s="1240"/>
      <c r="G699" s="1240"/>
      <c r="H699" s="1240"/>
      <c r="I699" s="1240"/>
      <c r="J699" s="1240"/>
      <c r="K699" s="1246"/>
      <c r="L699" s="1248"/>
      <c r="M699" s="1240"/>
      <c r="N699" s="1246"/>
      <c r="O699" s="1246"/>
      <c r="P699" s="1240"/>
      <c r="Q699" s="1246"/>
      <c r="R699" s="1248"/>
      <c r="S699" s="1240"/>
      <c r="T699" s="1240"/>
      <c r="U699" s="1240"/>
      <c r="V699" s="1240"/>
      <c r="W699" s="1240"/>
      <c r="X699" s="1240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240"/>
      <c r="D700" s="1240"/>
      <c r="E700" s="1240"/>
      <c r="F700" s="1240"/>
      <c r="G700" s="1240"/>
      <c r="H700" s="1240"/>
      <c r="I700" s="1240"/>
      <c r="J700" s="1240"/>
      <c r="K700" s="1246"/>
      <c r="L700" s="1246"/>
      <c r="M700" s="1240"/>
      <c r="N700" s="1246"/>
      <c r="O700" s="1246"/>
      <c r="P700" s="1240"/>
      <c r="Q700" s="1246"/>
      <c r="R700" s="1246"/>
      <c r="S700" s="1240"/>
      <c r="T700" s="1240"/>
      <c r="U700" s="1240"/>
      <c r="V700" s="1240"/>
      <c r="W700" s="1240"/>
      <c r="X700" s="1240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240"/>
      <c r="D701" s="1240"/>
      <c r="E701" s="1240"/>
      <c r="F701" s="1240"/>
      <c r="G701" s="1240"/>
      <c r="H701" s="1240"/>
      <c r="I701" s="1240"/>
      <c r="J701" s="1240"/>
      <c r="K701" s="1246"/>
      <c r="L701" s="1246"/>
      <c r="M701" s="1240"/>
      <c r="N701" s="1246"/>
      <c r="O701" s="1246"/>
      <c r="P701" s="1240"/>
      <c r="Q701" s="1246"/>
      <c r="R701" s="1246"/>
      <c r="S701" s="1240"/>
      <c r="T701" s="1240"/>
      <c r="U701" s="1240"/>
      <c r="V701" s="1240"/>
      <c r="W701" s="1240"/>
      <c r="X701" s="1240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240"/>
      <c r="D702" s="1240"/>
      <c r="E702" s="1240"/>
      <c r="F702" s="1240"/>
      <c r="G702" s="1240"/>
      <c r="H702" s="1240"/>
      <c r="I702" s="1240"/>
      <c r="J702" s="1240"/>
      <c r="K702" s="1246"/>
      <c r="L702" s="1246"/>
      <c r="M702" s="1240"/>
      <c r="N702" s="1248"/>
      <c r="O702" s="1248"/>
      <c r="P702" s="1240"/>
      <c r="Q702" s="1248"/>
      <c r="R702" s="1246"/>
      <c r="S702" s="1240"/>
      <c r="T702" s="1240"/>
      <c r="U702" s="1240"/>
      <c r="V702" s="1240"/>
      <c r="W702" s="1240"/>
      <c r="X702" s="1240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3" priority="17" stopIfTrue="1">
      <formula>"esterreur(reference)"</formula>
    </cfRule>
  </conditionalFormatting>
  <conditionalFormatting sqref="D112:D113">
    <cfRule type="expression" dxfId="112" priority="12" stopIfTrue="1">
      <formula>"esterreur(reference)"</formula>
    </cfRule>
  </conditionalFormatting>
  <conditionalFormatting sqref="F5">
    <cfRule type="expression" dxfId="111" priority="69" stopIfTrue="1">
      <formula>"esterreur(reference)"</formula>
    </cfRule>
  </conditionalFormatting>
  <conditionalFormatting sqref="F184">
    <cfRule type="expression" dxfId="110" priority="79" stopIfTrue="1">
      <formula>"esterreur(reference)"</formula>
    </cfRule>
  </conditionalFormatting>
  <conditionalFormatting sqref="G31:G32">
    <cfRule type="expression" dxfId="109" priority="16" stopIfTrue="1">
      <formula>"esterreur(reference)"</formula>
    </cfRule>
  </conditionalFormatting>
  <conditionalFormatting sqref="G112:G113">
    <cfRule type="expression" dxfId="108" priority="13" stopIfTrue="1">
      <formula>"esterreur(reference)"</formula>
    </cfRule>
  </conditionalFormatting>
  <conditionalFormatting sqref="H136:H152">
    <cfRule type="expression" dxfId="107" priority="33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4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100" stopIfTrue="1">
      <formula>"esterreur(reference)"</formula>
    </cfRule>
  </conditionalFormatting>
  <conditionalFormatting sqref="J149:L152">
    <cfRule type="expression" dxfId="99" priority="32" stopIfTrue="1">
      <formula>"esterreur(reference)"</formula>
    </cfRule>
  </conditionalFormatting>
  <conditionalFormatting sqref="J295:L303">
    <cfRule type="expression" dxfId="98" priority="96" stopIfTrue="1">
      <formula>"esterreur(reference)"</formula>
    </cfRule>
  </conditionalFormatting>
  <conditionalFormatting sqref="J307:L308">
    <cfRule type="expression" dxfId="97" priority="86" stopIfTrue="1">
      <formula>"esterreur(reference)"</formula>
    </cfRule>
  </conditionalFormatting>
  <conditionalFormatting sqref="J360:L360">
    <cfRule type="expression" dxfId="96" priority="78" stopIfTrue="1">
      <formula>"esterreur(reference)"</formula>
    </cfRule>
  </conditionalFormatting>
  <conditionalFormatting sqref="J365:L376">
    <cfRule type="expression" dxfId="95" priority="83" stopIfTrue="1">
      <formula>"esterreur(reference)"</formula>
    </cfRule>
  </conditionalFormatting>
  <conditionalFormatting sqref="J378:L394">
    <cfRule type="expression" dxfId="94" priority="82" stopIfTrue="1">
      <formula>"esterreur(reference)"</formula>
    </cfRule>
  </conditionalFormatting>
  <conditionalFormatting sqref="J312:M312">
    <cfRule type="expression" dxfId="93" priority="84" stopIfTrue="1">
      <formula>"esterreur(reference)"</formula>
    </cfRule>
  </conditionalFormatting>
  <conditionalFormatting sqref="J112:Q121">
    <cfRule type="expression" dxfId="92" priority="14" stopIfTrue="1">
      <formula>"esterreur(reference)"</formula>
    </cfRule>
  </conditionalFormatting>
  <conditionalFormatting sqref="J123:Q134">
    <cfRule type="expression" dxfId="91" priority="59" stopIfTrue="1">
      <formula>"esterreur(reference)"</formula>
    </cfRule>
  </conditionalFormatting>
  <conditionalFormatting sqref="K5">
    <cfRule type="expression" dxfId="90" priority="93" stopIfTrue="1">
      <formula>"esterreur(reference)"</formula>
    </cfRule>
  </conditionalFormatting>
  <conditionalFormatting sqref="K175">
    <cfRule type="expression" dxfId="89" priority="90" stopIfTrue="1">
      <formula>"esterreur(reference)"</formula>
    </cfRule>
  </conditionalFormatting>
  <conditionalFormatting sqref="K183:K184">
    <cfRule type="expression" dxfId="88" priority="92" stopIfTrue="1">
      <formula>"esterreur(reference)"</formula>
    </cfRule>
  </conditionalFormatting>
  <conditionalFormatting sqref="K287">
    <cfRule type="expression" dxfId="87" priority="76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81" stopIfTrue="1">
      <formula>"esterreur(reference)"</formula>
    </cfRule>
  </conditionalFormatting>
  <conditionalFormatting sqref="K99:L100">
    <cfRule type="expression" dxfId="84" priority="101" stopIfTrue="1">
      <formula>"esterreur(reference)"</formula>
    </cfRule>
  </conditionalFormatting>
  <conditionalFormatting sqref="K171:L173">
    <cfRule type="expression" dxfId="83" priority="91" stopIfTrue="1">
      <formula>"esterreur(reference)"</formula>
    </cfRule>
  </conditionalFormatting>
  <conditionalFormatting sqref="K176:L182">
    <cfRule type="expression" dxfId="82" priority="89" stopIfTrue="1">
      <formula>"esterreur(reference)"</formula>
    </cfRule>
  </conditionalFormatting>
  <conditionalFormatting sqref="K185:L196">
    <cfRule type="expression" dxfId="81" priority="85" stopIfTrue="1">
      <formula>"esterreur(reference)"</formula>
    </cfRule>
  </conditionalFormatting>
  <conditionalFormatting sqref="K239:L241">
    <cfRule type="expression" dxfId="80" priority="80" stopIfTrue="1">
      <formula>"esterreur(reference)"</formula>
    </cfRule>
  </conditionalFormatting>
  <conditionalFormatting sqref="K244:L244">
    <cfRule type="expression" dxfId="79" priority="88" stopIfTrue="1">
      <formula>"esterreur(reference)"</formula>
    </cfRule>
  </conditionalFormatting>
  <conditionalFormatting sqref="K247:L247">
    <cfRule type="expression" dxfId="78" priority="87" stopIfTrue="1">
      <formula>"esterreur(reference)"</formula>
    </cfRule>
  </conditionalFormatting>
  <conditionalFormatting sqref="L16:L24">
    <cfRule type="expression" dxfId="77" priority="103" stopIfTrue="1">
      <formula>"esterreur(reference)"</formula>
    </cfRule>
  </conditionalFormatting>
  <conditionalFormatting sqref="L42:L48">
    <cfRule type="expression" dxfId="76" priority="102" stopIfTrue="1">
      <formula>"esterreur(reference)"</formula>
    </cfRule>
  </conditionalFormatting>
  <conditionalFormatting sqref="L55:L66">
    <cfRule type="expression" dxfId="75" priority="70" stopIfTrue="1">
      <formula>"esterreur(reference)"</formula>
    </cfRule>
  </conditionalFormatting>
  <conditionalFormatting sqref="L68:L71">
    <cfRule type="expression" dxfId="74" priority="34" stopIfTrue="1">
      <formula>"esterreur(reference)"</formula>
    </cfRule>
  </conditionalFormatting>
  <conditionalFormatting sqref="L75:L82">
    <cfRule type="expression" dxfId="73" priority="71" stopIfTrue="1">
      <formula>"esterreur(reference)"</formula>
    </cfRule>
  </conditionalFormatting>
  <conditionalFormatting sqref="L136:L147">
    <cfRule type="expression" dxfId="72" priority="75" stopIfTrue="1">
      <formula>"esterreur(reference)"</formula>
    </cfRule>
  </conditionalFormatting>
  <conditionalFormatting sqref="L174:L175">
    <cfRule type="expression" dxfId="71" priority="99" stopIfTrue="1">
      <formula>"esterreur(reference)"</formula>
    </cfRule>
  </conditionalFormatting>
  <conditionalFormatting sqref="L198:L209">
    <cfRule type="expression" dxfId="70" priority="98" stopIfTrue="1">
      <formula>"esterreur(reference)"</formula>
    </cfRule>
  </conditionalFormatting>
  <conditionalFormatting sqref="L211:L228">
    <cfRule type="expression" dxfId="69" priority="74" stopIfTrue="1">
      <formula>"esterreur(reference)"</formula>
    </cfRule>
  </conditionalFormatting>
  <conditionalFormatting sqref="L254:L265">
    <cfRule type="expression" dxfId="68" priority="97" stopIfTrue="1">
      <formula>"esterreur(reference)"</formula>
    </cfRule>
  </conditionalFormatting>
  <conditionalFormatting sqref="L267:L284">
    <cfRule type="expression" dxfId="67" priority="73" stopIfTrue="1">
      <formula>"esterreur(reference)"</formula>
    </cfRule>
  </conditionalFormatting>
  <conditionalFormatting sqref="L318:L329">
    <cfRule type="expression" dxfId="66" priority="95" stopIfTrue="1">
      <formula>"esterreur(reference)"</formula>
    </cfRule>
  </conditionalFormatting>
  <conditionalFormatting sqref="L331">
    <cfRule type="expression" dxfId="65" priority="72" stopIfTrue="1">
      <formula>"esterreur(reference)"</formula>
    </cfRule>
  </conditionalFormatting>
  <conditionalFormatting sqref="L334:L343 L345:L348">
    <cfRule type="expression" dxfId="64" priority="94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4" stopIfTrue="1">
      <formula>"esterreur(reference)"</formula>
    </cfRule>
  </conditionalFormatting>
  <conditionalFormatting sqref="L156:Q162">
    <cfRule type="expression" dxfId="61" priority="30" stopIfTrue="1">
      <formula>"esterreur(reference)"</formula>
    </cfRule>
  </conditionalFormatting>
  <conditionalFormatting sqref="M95:M97">
    <cfRule type="expression" dxfId="60" priority="105" stopIfTrue="1">
      <formula>"esterreur(reference)"</formula>
    </cfRule>
  </conditionalFormatting>
  <conditionalFormatting sqref="O13:O14 O16 O18:O24 O83:Q85">
    <cfRule type="expression" dxfId="59" priority="68" stopIfTrue="1">
      <formula>"esterreur(reference)"</formula>
    </cfRule>
  </conditionalFormatting>
  <conditionalFormatting sqref="O172:O196 Q183 O198:P229 O232:Q232 O233:P233">
    <cfRule type="expression" dxfId="58" priority="57" stopIfTrue="1">
      <formula>"esterreur(reference)"</formula>
    </cfRule>
  </conditionalFormatting>
  <conditionalFormatting sqref="O318:P348 O349:Q349 O352:Q352 O353:P353">
    <cfRule type="expression" dxfId="57" priority="41" stopIfTrue="1">
      <formula>"esterreur(reference)"</formula>
    </cfRule>
  </conditionalFormatting>
  <conditionalFormatting sqref="O25:Q72">
    <cfRule type="expression" dxfId="56" priority="15" stopIfTrue="1">
      <formula>"esterreur(reference)"</formula>
    </cfRule>
  </conditionalFormatting>
  <conditionalFormatting sqref="O97:Q98 O122:Q122 O156:P157 O164:Q164 O165:P165">
    <cfRule type="expression" dxfId="55" priority="63" stopIfTrue="1">
      <formula>"esterreur(reference)"</formula>
    </cfRule>
  </conditionalFormatting>
  <conditionalFormatting sqref="O101:Q111">
    <cfRule type="expression" dxfId="54" priority="61" stopIfTrue="1">
      <formula>"esterreur(reference)"</formula>
    </cfRule>
  </conditionalFormatting>
  <conditionalFormatting sqref="O135:Q153">
    <cfRule type="expression" dxfId="53" priority="31" stopIfTrue="1">
      <formula>"esterreur(reference)"</formula>
    </cfRule>
  </conditionalFormatting>
  <conditionalFormatting sqref="O197:Q197">
    <cfRule type="expression" dxfId="52" priority="58" stopIfTrue="1">
      <formula>"esterreur(reference)"</formula>
    </cfRule>
  </conditionalFormatting>
  <conditionalFormatting sqref="O243:Q243 O252:Q253 O254:P284 O285:Q285 O288:Q288 O289:P289">
    <cfRule type="expression" dxfId="51" priority="48" stopIfTrue="1">
      <formula>"esterreur(reference)"</formula>
    </cfRule>
  </conditionalFormatting>
  <conditionalFormatting sqref="O295:Q317">
    <cfRule type="expression" dxfId="50" priority="39" stopIfTrue="1">
      <formula>"esterreur(reference)"</formula>
    </cfRule>
  </conditionalFormatting>
  <conditionalFormatting sqref="O359:Q394">
    <cfRule type="expression" dxfId="49" priority="35" stopIfTrue="1">
      <formula>"esterreur(reference)"</formula>
    </cfRule>
  </conditionalFormatting>
  <conditionalFormatting sqref="O396:Q399">
    <cfRule type="expression" dxfId="48" priority="36" stopIfTrue="1">
      <formula>"esterreur(reference)"</formula>
    </cfRule>
  </conditionalFormatting>
  <conditionalFormatting sqref="P5">
    <cfRule type="expression" dxfId="47" priority="65" stopIfTrue="1">
      <formula>"esterreur(reference)"</formula>
    </cfRule>
  </conditionalFormatting>
  <conditionalFormatting sqref="P175">
    <cfRule type="expression" dxfId="46" priority="52" stopIfTrue="1">
      <formula>"esterreur(reference)"</formula>
    </cfRule>
  </conditionalFormatting>
  <conditionalFormatting sqref="P183:P184">
    <cfRule type="expression" dxfId="45" priority="54" stopIfTrue="1">
      <formula>"esterreur(reference)"</formula>
    </cfRule>
  </conditionalFormatting>
  <conditionalFormatting sqref="P287">
    <cfRule type="expression" dxfId="44" priority="43" stopIfTrue="1">
      <formula>"esterreur(reference)"</formula>
    </cfRule>
  </conditionalFormatting>
  <conditionalFormatting sqref="P395">
    <cfRule type="expression" dxfId="43" priority="37" stopIfTrue="1">
      <formula>"esterreur(reference)"</formula>
    </cfRule>
  </conditionalFormatting>
  <conditionalFormatting sqref="P93:Q96">
    <cfRule type="expression" dxfId="42" priority="60" stopIfTrue="1">
      <formula>"esterreur(reference)"</formula>
    </cfRule>
  </conditionalFormatting>
  <conditionalFormatting sqref="P99:Q100">
    <cfRule type="expression" dxfId="41" priority="62" stopIfTrue="1">
      <formula>"esterreur(reference)"</formula>
    </cfRule>
  </conditionalFormatting>
  <conditionalFormatting sqref="P172:Q173">
    <cfRule type="expression" dxfId="40" priority="53" stopIfTrue="1">
      <formula>"esterreur(reference)"</formula>
    </cfRule>
  </conditionalFormatting>
  <conditionalFormatting sqref="P176:Q182">
    <cfRule type="expression" dxfId="39" priority="51" stopIfTrue="1">
      <formula>"esterreur(reference)"</formula>
    </cfRule>
  </conditionalFormatting>
  <conditionalFormatting sqref="P185:Q196">
    <cfRule type="expression" dxfId="38" priority="50" stopIfTrue="1">
      <formula>"esterreur(reference)"</formula>
    </cfRule>
  </conditionalFormatting>
  <conditionalFormatting sqref="P241:Q241">
    <cfRule type="expression" dxfId="37" priority="44" stopIfTrue="1">
      <formula>"esterreur(reference)"</formula>
    </cfRule>
  </conditionalFormatting>
  <conditionalFormatting sqref="P244:Q244">
    <cfRule type="expression" dxfId="36" priority="46" stopIfTrue="1">
      <formula>"esterreur(reference)"</formula>
    </cfRule>
  </conditionalFormatting>
  <conditionalFormatting sqref="P247:Q247">
    <cfRule type="expression" dxfId="35" priority="45" stopIfTrue="1">
      <formula>"esterreur(reference)"</formula>
    </cfRule>
  </conditionalFormatting>
  <conditionalFormatting sqref="Q16:Q24">
    <cfRule type="expression" dxfId="34" priority="67" stopIfTrue="1">
      <formula>"esterreur(reference)"</formula>
    </cfRule>
  </conditionalFormatting>
  <conditionalFormatting sqref="Q75:Q82">
    <cfRule type="expression" dxfId="33" priority="66" stopIfTrue="1">
      <formula>"esterreur(reference)"</formula>
    </cfRule>
  </conditionalFormatting>
  <conditionalFormatting sqref="Q174:Q175">
    <cfRule type="expression" dxfId="32" priority="56" stopIfTrue="1">
      <formula>"esterreur(reference)"</formula>
    </cfRule>
  </conditionalFormatting>
  <conditionalFormatting sqref="Q198:Q209">
    <cfRule type="expression" dxfId="31" priority="55" stopIfTrue="1">
      <formula>"esterreur(reference)"</formula>
    </cfRule>
  </conditionalFormatting>
  <conditionalFormatting sqref="Q211:Q228">
    <cfRule type="expression" dxfId="30" priority="49" stopIfTrue="1">
      <formula>"esterreur(reference)"</formula>
    </cfRule>
  </conditionalFormatting>
  <conditionalFormatting sqref="Q254:Q265">
    <cfRule type="expression" dxfId="29" priority="47" stopIfTrue="1">
      <formula>"esterreur(reference)"</formula>
    </cfRule>
  </conditionalFormatting>
  <conditionalFormatting sqref="Q267:Q284">
    <cfRule type="expression" dxfId="28" priority="42" stopIfTrue="1">
      <formula>"esterreur(reference)"</formula>
    </cfRule>
  </conditionalFormatting>
  <conditionalFormatting sqref="Q318:Q329">
    <cfRule type="expression" dxfId="27" priority="40" stopIfTrue="1">
      <formula>"esterreur(reference)"</formula>
    </cfRule>
  </conditionalFormatting>
  <conditionalFormatting sqref="Q331:Q348">
    <cfRule type="expression" dxfId="26" priority="38" stopIfTrue="1">
      <formula>"esterreur(reference)"</formula>
    </cfRule>
  </conditionalFormatting>
  <conditionalFormatting sqref="R312">
    <cfRule type="expression" dxfId="25" priority="106" stopIfTrue="1">
      <formula>"esterreur(reference)"</formula>
    </cfRule>
  </conditionalFormatting>
  <conditionalFormatting sqref="S186">
    <cfRule type="expression" dxfId="24" priority="77" stopIfTrue="1">
      <formula>"esterreur(reference)"</formula>
    </cfRule>
  </conditionalFormatting>
  <conditionalFormatting sqref="Z425:Z427">
    <cfRule type="cellIs" dxfId="23" priority="28" operator="greaterThan">
      <formula>0</formula>
    </cfRule>
  </conditionalFormatting>
  <conditionalFormatting sqref="Z432">
    <cfRule type="cellIs" dxfId="22" priority="26" operator="greaterThan">
      <formula>0</formula>
    </cfRule>
  </conditionalFormatting>
  <conditionalFormatting sqref="Z449:Z451">
    <cfRule type="cellIs" dxfId="21" priority="24" operator="greaterThan">
      <formula>0</formula>
    </cfRule>
  </conditionalFormatting>
  <conditionalFormatting sqref="Z463:Z465">
    <cfRule type="cellIs" dxfId="20" priority="22" operator="greaterThan">
      <formula>0</formula>
    </cfRule>
  </conditionalFormatting>
  <conditionalFormatting sqref="Z478:Z479">
    <cfRule type="cellIs" dxfId="19" priority="20" operator="greaterThan">
      <formula>0</formula>
    </cfRule>
  </conditionalFormatting>
  <conditionalFormatting sqref="Z495:Z497">
    <cfRule type="cellIs" dxfId="18" priority="18" operator="greaterThan">
      <formula>0</formula>
    </cfRule>
  </conditionalFormatting>
  <conditionalFormatting sqref="AC425:AC427">
    <cfRule type="cellIs" dxfId="17" priority="29" operator="greaterThan">
      <formula>0</formula>
    </cfRule>
  </conditionalFormatting>
  <conditionalFormatting sqref="AC432">
    <cfRule type="cellIs" dxfId="16" priority="27" operator="greaterThan">
      <formula>0</formula>
    </cfRule>
  </conditionalFormatting>
  <conditionalFormatting sqref="AC449:AC451">
    <cfRule type="cellIs" dxfId="15" priority="25" operator="greaterThan">
      <formula>0</formula>
    </cfRule>
  </conditionalFormatting>
  <conditionalFormatting sqref="AC463:AC465">
    <cfRule type="cellIs" dxfId="14" priority="23" operator="greaterThan">
      <formula>0</formula>
    </cfRule>
  </conditionalFormatting>
  <conditionalFormatting sqref="AC478:AC479">
    <cfRule type="cellIs" dxfId="13" priority="21" operator="greaterThan">
      <formula>0</formula>
    </cfRule>
  </conditionalFormatting>
  <conditionalFormatting sqref="AC495:AC497">
    <cfRule type="cellIs" dxfId="12" priority="19" operator="greaterThan">
      <formula>0</formula>
    </cfRule>
  </conditionalFormatting>
  <conditionalFormatting sqref="AG409:AI418">
    <cfRule type="cellIs" dxfId="11" priority="9" operator="greaterThan">
      <formula>0</formula>
    </cfRule>
  </conditionalFormatting>
  <conditionalFormatting sqref="AH449:AH452">
    <cfRule type="cellIs" dxfId="10" priority="6" operator="greaterThan">
      <formula>0</formula>
    </cfRule>
  </conditionalFormatting>
  <conditionalFormatting sqref="AH461:AH466">
    <cfRule type="cellIs" dxfId="9" priority="4" operator="greaterThan">
      <formula>0</formula>
    </cfRule>
  </conditionalFormatting>
  <conditionalFormatting sqref="AH420:AI448">
    <cfRule type="cellIs" dxfId="8" priority="8" operator="greaterThan">
      <formula>0</formula>
    </cfRule>
  </conditionalFormatting>
  <conditionalFormatting sqref="AH453:AI460 AH467:AI468">
    <cfRule type="cellIs" dxfId="7" priority="10" operator="greaterThan">
      <formula>0</formula>
    </cfRule>
  </conditionalFormatting>
  <conditionalFormatting sqref="AH469:AI477 AH480:AI480">
    <cfRule type="cellIs" dxfId="6" priority="11" operator="lessThan">
      <formula>0</formula>
    </cfRule>
  </conditionalFormatting>
  <conditionalFormatting sqref="AH478:AI479">
    <cfRule type="cellIs" dxfId="5" priority="3" operator="greaterThan">
      <formula>0</formula>
    </cfRule>
  </conditionalFormatting>
  <conditionalFormatting sqref="AH491:AI497">
    <cfRule type="cellIs" dxfId="4" priority="2" operator="greaterThan">
      <formula>0</formula>
    </cfRule>
  </conditionalFormatting>
  <conditionalFormatting sqref="AI449:AI451">
    <cfRule type="cellIs" dxfId="3" priority="7" operator="greaterThan">
      <formula>0</formula>
    </cfRule>
  </conditionalFormatting>
  <conditionalFormatting sqref="AI463:AI465">
    <cfRule type="cellIs" dxfId="2" priority="5" operator="greaterThan">
      <formula>0</formula>
    </cfRule>
  </conditionalFormatting>
  <conditionalFormatting sqref="AO409:AO418">
    <cfRule type="cellIs" dxfId="1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52" customWidth="1"/>
    <col min="2" max="2" width="23.25" style="552" customWidth="1"/>
    <col min="3" max="9" width="11.75" style="552" customWidth="1"/>
    <col min="10" max="10" width="58.875" style="552" customWidth="1"/>
    <col min="11" max="13" width="3.125" style="552" customWidth="1"/>
    <col min="14" max="25" width="10.625" style="1128" bestFit="1" customWidth="1"/>
    <col min="26" max="16384" width="11" style="552"/>
  </cols>
  <sheetData>
    <row r="1" spans="1:25" ht="15.75">
      <c r="B1" s="1297" t="str">
        <f>Parametres!$B$1&amp;" "&amp;"2 pager"&amp;" "&amp;Parametres!$B$3&amp;" "&amp;Parametres!$B$4</f>
        <v>BMW Sherbrooke 2 pager Décembre 2025</v>
      </c>
      <c r="C1" s="1297"/>
      <c r="D1" s="1297"/>
      <c r="E1" s="1297"/>
      <c r="F1" s="1297"/>
      <c r="G1" s="1297"/>
      <c r="H1" s="1297"/>
      <c r="I1" s="1297"/>
      <c r="J1" s="1297"/>
    </row>
    <row r="2" spans="1:25">
      <c r="B2" s="566"/>
    </row>
    <row r="3" spans="1:25">
      <c r="A3" s="742"/>
      <c r="B3" s="561" t="s">
        <v>310</v>
      </c>
      <c r="C3" s="562" t="s">
        <v>311</v>
      </c>
      <c r="D3" s="563" t="s">
        <v>6</v>
      </c>
      <c r="E3" s="564">
        <v>2023</v>
      </c>
      <c r="F3" s="563" t="s">
        <v>332</v>
      </c>
      <c r="G3" s="565" t="s">
        <v>2815</v>
      </c>
      <c r="H3" s="563" t="s">
        <v>333</v>
      </c>
      <c r="I3" s="565" t="s">
        <v>2816</v>
      </c>
      <c r="J3" s="1029" t="s">
        <v>329</v>
      </c>
    </row>
    <row r="4" spans="1:25" ht="15" customHeight="1">
      <c r="A4" s="742"/>
      <c r="B4" s="726" t="s">
        <v>312</v>
      </c>
      <c r="C4" s="727">
        <f>+Print_Mois!$J$13+Print_Mois!$J$15</f>
        <v>8</v>
      </c>
      <c r="D4" s="727">
        <f>+Print_Mois!$D$13+Print_Mois!$D$15</f>
        <v>18</v>
      </c>
      <c r="E4" s="727">
        <f>+Print_Mois!$O$13+Print_Mois!$O$15</f>
        <v>25</v>
      </c>
      <c r="F4" s="728">
        <f t="shared" ref="F4:F15" si="0">+IFERROR($C4-D4,"")</f>
        <v>-10</v>
      </c>
      <c r="G4" s="729">
        <f t="shared" ref="G4:G15" si="1">+IFERROR($C4-E4,"")</f>
        <v>-17</v>
      </c>
      <c r="H4" s="765">
        <f t="shared" ref="H4:H15" si="2">+IFERROR(F4/ABS($D4),"")</f>
        <v>-0.55555555555555558</v>
      </c>
      <c r="I4" s="1023">
        <f t="shared" ref="I4:I14" si="3">+IFERROR(G4/ABS($E4),"")</f>
        <v>-0.68</v>
      </c>
      <c r="J4" s="1294"/>
    </row>
    <row r="5" spans="1:25">
      <c r="A5" s="742"/>
      <c r="B5" s="554" t="s">
        <v>313</v>
      </c>
      <c r="C5" s="673">
        <f>+Print_Mois!$L$13+Print_Mois!$L$15</f>
        <v>28326.42</v>
      </c>
      <c r="D5" s="673">
        <f>+Print_Mois!$F$13+Print_Mois!$F$15</f>
        <v>67341.683351301399</v>
      </c>
      <c r="E5" s="673">
        <f>+Print_Mois!$Q$13+Print_Mois!$Q$15</f>
        <v>136758.04000000018</v>
      </c>
      <c r="F5" s="674">
        <f t="shared" si="0"/>
        <v>-39015.263351301401</v>
      </c>
      <c r="G5" s="675">
        <f t="shared" si="1"/>
        <v>-108431.62000000018</v>
      </c>
      <c r="H5" s="740">
        <f t="shared" si="2"/>
        <v>-0.57936275735446729</v>
      </c>
      <c r="I5" s="1024">
        <f t="shared" si="3"/>
        <v>-0.79287199494815841</v>
      </c>
      <c r="J5" s="1295"/>
    </row>
    <row r="6" spans="1:25">
      <c r="A6" s="742"/>
      <c r="B6" s="554" t="s">
        <v>314</v>
      </c>
      <c r="C6" s="673">
        <f>+C5/C4</f>
        <v>3540.8024999999998</v>
      </c>
      <c r="D6" s="673">
        <f>+D5/D4</f>
        <v>3741.2046306278553</v>
      </c>
      <c r="E6" s="673">
        <f>+E5/E4</f>
        <v>5470.3216000000075</v>
      </c>
      <c r="F6" s="674">
        <f t="shared" si="0"/>
        <v>-200.40213062785551</v>
      </c>
      <c r="G6" s="675">
        <f t="shared" si="1"/>
        <v>-1929.5191000000077</v>
      </c>
      <c r="H6" s="741">
        <f>+IFERROR(F6/ABS($D6),"")</f>
        <v>-5.3566204047551309E-2</v>
      </c>
      <c r="I6" s="1025">
        <f t="shared" si="3"/>
        <v>-0.35272498421299492</v>
      </c>
      <c r="J6" s="1295"/>
    </row>
    <row r="7" spans="1:25">
      <c r="A7" s="742"/>
      <c r="B7" s="554" t="s">
        <v>315</v>
      </c>
      <c r="C7" s="673">
        <f>+Print_Mois!$L$31</f>
        <v>9127.2900000000009</v>
      </c>
      <c r="D7" s="673">
        <f>+Print_Mois!$F$31</f>
        <v>20295.491700656308</v>
      </c>
      <c r="E7" s="673">
        <f>+Print_Mois!$Q$31</f>
        <v>35804.06</v>
      </c>
      <c r="F7" s="674">
        <f t="shared" si="0"/>
        <v>-11168.201700656307</v>
      </c>
      <c r="G7" s="675">
        <f t="shared" si="1"/>
        <v>-26676.769999999997</v>
      </c>
      <c r="H7" s="740">
        <f t="shared" si="2"/>
        <v>-0.55027992745281229</v>
      </c>
      <c r="I7" s="1024">
        <f t="shared" si="3"/>
        <v>-0.74507667566192215</v>
      </c>
      <c r="J7" s="1295"/>
      <c r="N7" s="1131"/>
      <c r="O7" s="1131"/>
      <c r="P7" s="1131"/>
      <c r="Q7" s="1131"/>
      <c r="R7" s="1131"/>
      <c r="S7" s="1131"/>
      <c r="T7" s="1131"/>
      <c r="U7" s="1131"/>
      <c r="V7" s="1131"/>
      <c r="W7" s="1131"/>
      <c r="X7" s="1131"/>
      <c r="Y7" s="1131"/>
    </row>
    <row r="8" spans="1:25">
      <c r="A8" s="742"/>
      <c r="B8" s="554" t="s">
        <v>316</v>
      </c>
      <c r="C8" s="678">
        <f>+C7/C5</f>
        <v>0.32221826831629274</v>
      </c>
      <c r="D8" s="678">
        <f>+D7/D5</f>
        <v>0.30138081928811916</v>
      </c>
      <c r="E8" s="678">
        <f>+E7/E5</f>
        <v>0.26180588724436199</v>
      </c>
      <c r="F8" s="676">
        <f t="shared" si="0"/>
        <v>2.0837449028173582E-2</v>
      </c>
      <c r="G8" s="677">
        <f t="shared" si="1"/>
        <v>6.0412381071930754E-2</v>
      </c>
      <c r="H8" s="740">
        <f t="shared" si="2"/>
        <v>6.9139930926569823E-2</v>
      </c>
      <c r="I8" s="1024">
        <f>+IFERROR(G8/ABS($E8),"")</f>
        <v>0.23075256904190086</v>
      </c>
      <c r="J8" s="1295"/>
      <c r="N8" s="1131"/>
      <c r="O8" s="1131"/>
      <c r="P8" s="1131"/>
      <c r="Q8" s="1131"/>
      <c r="R8" s="1131"/>
      <c r="S8" s="1131"/>
      <c r="T8" s="1131"/>
      <c r="U8" s="1131"/>
      <c r="V8" s="1131"/>
      <c r="W8" s="1131"/>
      <c r="X8" s="1131"/>
      <c r="Y8" s="1131"/>
    </row>
    <row r="9" spans="1:25">
      <c r="A9" s="742"/>
      <c r="B9" s="554" t="s">
        <v>317</v>
      </c>
      <c r="C9" s="673">
        <f>+Print_Mois!$L$24</f>
        <v>14426.650000000001</v>
      </c>
      <c r="D9" s="673">
        <f>+Print_Mois!$F$24</f>
        <v>29790</v>
      </c>
      <c r="E9" s="673">
        <f>+Print_Mois!$Q$24</f>
        <v>39919.269999999902</v>
      </c>
      <c r="F9" s="674">
        <f t="shared" si="0"/>
        <v>-15363.349999999999</v>
      </c>
      <c r="G9" s="675">
        <f t="shared" si="1"/>
        <v>-25492.619999999901</v>
      </c>
      <c r="H9" s="740">
        <f t="shared" si="2"/>
        <v>-0.51572171869754946</v>
      </c>
      <c r="I9" s="1024">
        <f t="shared" si="3"/>
        <v>-0.63860436325614078</v>
      </c>
      <c r="J9" s="1295"/>
      <c r="N9" s="1129"/>
      <c r="O9" s="1129"/>
      <c r="P9" s="1129"/>
      <c r="Q9" s="1129"/>
      <c r="R9" s="1129"/>
      <c r="S9" s="1129"/>
      <c r="T9" s="1129"/>
      <c r="U9" s="1129"/>
      <c r="V9" s="1129"/>
      <c r="W9" s="1129"/>
      <c r="X9" s="1129"/>
      <c r="Y9" s="1129"/>
    </row>
    <row r="10" spans="1:25">
      <c r="A10" s="742"/>
      <c r="B10" s="554" t="s">
        <v>318</v>
      </c>
      <c r="C10" s="673">
        <f>+C9/C4</f>
        <v>1803.3312500000002</v>
      </c>
      <c r="D10" s="673">
        <f>+D9/D4</f>
        <v>1655</v>
      </c>
      <c r="E10" s="673">
        <f>+E9/E4</f>
        <v>1596.7707999999961</v>
      </c>
      <c r="F10" s="674">
        <f t="shared" si="0"/>
        <v>148.33125000000018</v>
      </c>
      <c r="G10" s="675">
        <f t="shared" si="1"/>
        <v>206.56045000000404</v>
      </c>
      <c r="H10" s="741">
        <f t="shared" si="2"/>
        <v>8.9626132930513705E-2</v>
      </c>
      <c r="I10" s="1025">
        <f t="shared" si="3"/>
        <v>0.12936136482456001</v>
      </c>
      <c r="J10" s="1295"/>
    </row>
    <row r="11" spans="1:25">
      <c r="A11" s="742"/>
      <c r="B11" s="554" t="s">
        <v>319</v>
      </c>
      <c r="C11" s="673">
        <f>+Print_Mois!$L$32</f>
        <v>4659.22</v>
      </c>
      <c r="D11" s="673">
        <f>+Print_Mois!$F$32</f>
        <v>8192.25</v>
      </c>
      <c r="E11" s="673">
        <f>+Print_Mois!$Q$32</f>
        <v>13314.87</v>
      </c>
      <c r="F11" s="674">
        <f t="shared" si="0"/>
        <v>-3533.0299999999997</v>
      </c>
      <c r="G11" s="675">
        <f t="shared" si="1"/>
        <v>-8655.6500000000015</v>
      </c>
      <c r="H11" s="740">
        <f t="shared" si="2"/>
        <v>-0.43126491501113856</v>
      </c>
      <c r="I11" s="1024">
        <f t="shared" si="3"/>
        <v>-0.65007393988826034</v>
      </c>
      <c r="J11" s="1295"/>
    </row>
    <row r="12" spans="1:25">
      <c r="A12" s="742"/>
      <c r="B12" s="554" t="s">
        <v>320</v>
      </c>
      <c r="C12" s="678">
        <f>+C11/C9</f>
        <v>0.32295924556289918</v>
      </c>
      <c r="D12" s="678">
        <f>+D11/D9</f>
        <v>0.27500000000000002</v>
      </c>
      <c r="E12" s="678">
        <f>+E11/E9</f>
        <v>0.3335449270490175</v>
      </c>
      <c r="F12" s="676">
        <f t="shared" si="0"/>
        <v>4.7959245562899155E-2</v>
      </c>
      <c r="G12" s="679">
        <f t="shared" si="1"/>
        <v>-1.0585681486118326E-2</v>
      </c>
      <c r="H12" s="740">
        <f t="shared" si="2"/>
        <v>0.17439725659236055</v>
      </c>
      <c r="I12" s="1024">
        <f t="shared" si="3"/>
        <v>-3.1736898473538055E-2</v>
      </c>
      <c r="J12" s="1295"/>
    </row>
    <row r="13" spans="1:25">
      <c r="A13" s="742"/>
      <c r="B13" s="554" t="s">
        <v>321</v>
      </c>
      <c r="C13" s="673">
        <f>+Print_Mois!$L$41-C7-C11</f>
        <v>35994.400000000001</v>
      </c>
      <c r="D13" s="673">
        <f>+Print_Mois!$F$41-D7-D11</f>
        <v>37041.591005960843</v>
      </c>
      <c r="E13" s="673">
        <f>+Print_Mois!$Q$41-E7-E11</f>
        <v>52717.32</v>
      </c>
      <c r="F13" s="674">
        <f t="shared" si="0"/>
        <v>-1047.1910059608417</v>
      </c>
      <c r="G13" s="675">
        <f t="shared" si="1"/>
        <v>-16722.919999999998</v>
      </c>
      <c r="H13" s="740">
        <f t="shared" si="2"/>
        <v>-2.8270681078259426E-2</v>
      </c>
      <c r="I13" s="1024">
        <f t="shared" si="3"/>
        <v>-0.317218705351486</v>
      </c>
      <c r="J13" s="1295"/>
    </row>
    <row r="14" spans="1:25">
      <c r="A14" s="742"/>
      <c r="B14" s="554" t="s">
        <v>322</v>
      </c>
      <c r="C14" s="673">
        <f>+C13/C4</f>
        <v>4499.3</v>
      </c>
      <c r="D14" s="673">
        <f>+D13/D4</f>
        <v>2057.8661669978246</v>
      </c>
      <c r="E14" s="673">
        <f>+E13/E4</f>
        <v>2108.6927999999998</v>
      </c>
      <c r="F14" s="674">
        <f t="shared" si="0"/>
        <v>2441.4338330021756</v>
      </c>
      <c r="G14" s="675">
        <f t="shared" si="1"/>
        <v>2390.6072000000004</v>
      </c>
      <c r="H14" s="740">
        <f t="shared" si="2"/>
        <v>1.1863909675739164</v>
      </c>
      <c r="I14" s="1024">
        <f t="shared" si="3"/>
        <v>1.1336915457766066</v>
      </c>
      <c r="J14" s="1295"/>
    </row>
    <row r="15" spans="1:25">
      <c r="A15" s="742"/>
      <c r="B15" s="554" t="s">
        <v>323</v>
      </c>
      <c r="C15" s="673">
        <f>+Print_Mois!$L$83</f>
        <v>57481</v>
      </c>
      <c r="D15" s="673">
        <f>+Print_Mois!$F$83</f>
        <v>69846.01344000001</v>
      </c>
      <c r="E15" s="673">
        <f>+Print_Mois!$Q$83</f>
        <v>90860</v>
      </c>
      <c r="F15" s="674">
        <f t="shared" si="0"/>
        <v>-12365.01344000001</v>
      </c>
      <c r="G15" s="675">
        <f t="shared" si="1"/>
        <v>-33379</v>
      </c>
      <c r="H15" s="740">
        <f t="shared" si="2"/>
        <v>-0.17703248662319085</v>
      </c>
      <c r="I15" s="1024">
        <f>+IFERROR(G15/ABS($E15),"")</f>
        <v>-0.36736737838432754</v>
      </c>
      <c r="J15" s="1295"/>
    </row>
    <row r="16" spans="1:25">
      <c r="A16" s="742"/>
      <c r="B16" s="556" t="s">
        <v>324</v>
      </c>
      <c r="C16" s="680"/>
      <c r="D16" s="680"/>
      <c r="E16" s="680"/>
      <c r="F16" s="681"/>
      <c r="G16" s="682"/>
      <c r="H16" s="743"/>
      <c r="I16" s="1026"/>
      <c r="J16" s="1295"/>
    </row>
    <row r="17" spans="1:25">
      <c r="A17" s="742"/>
      <c r="B17" s="722" t="s">
        <v>312</v>
      </c>
      <c r="C17" s="723">
        <v>66</v>
      </c>
      <c r="D17" s="723">
        <v>47</v>
      </c>
      <c r="E17" s="1104">
        <v>45</v>
      </c>
      <c r="F17" s="724">
        <f>+IFERROR($C17-D17,"")</f>
        <v>19</v>
      </c>
      <c r="G17" s="725">
        <f>+IFERROR($C17-E17,"")</f>
        <v>21</v>
      </c>
      <c r="H17" s="676">
        <f>+IFERROR(F17/ABS($D17),"")</f>
        <v>0.40425531914893614</v>
      </c>
      <c r="I17" s="1027">
        <f>+IFERROR(G17/ABS($E17),"")</f>
        <v>0.46666666666666667</v>
      </c>
      <c r="J17" s="1295"/>
    </row>
    <row r="18" spans="1:25">
      <c r="A18" s="742"/>
      <c r="B18" s="730" t="s">
        <v>285</v>
      </c>
      <c r="C18" s="731">
        <v>5091452</v>
      </c>
      <c r="D18" s="731">
        <v>3675502.3153846157</v>
      </c>
      <c r="E18" s="731">
        <v>3938633</v>
      </c>
      <c r="F18" s="684">
        <f>+IFERROR($C18-D18,"")</f>
        <v>1415949.6846153843</v>
      </c>
      <c r="G18" s="685">
        <f>+IFERROR($C18-E18,"")</f>
        <v>1152819</v>
      </c>
      <c r="H18" s="686">
        <f>+IFERROR(F18/ABS($D18),"")</f>
        <v>0.38523977489787409</v>
      </c>
      <c r="I18" s="1028">
        <f>+IFERROR(G18/ABS($E18),"")</f>
        <v>0.29269520668719323</v>
      </c>
      <c r="J18" s="1296"/>
    </row>
    <row r="19" spans="1:25">
      <c r="C19" s="687"/>
      <c r="D19" s="687"/>
      <c r="E19" s="687"/>
      <c r="F19" s="687"/>
      <c r="G19" s="687"/>
      <c r="H19" s="687"/>
      <c r="I19" s="687"/>
    </row>
    <row r="20" spans="1:25">
      <c r="B20" s="557" t="s">
        <v>308</v>
      </c>
      <c r="C20" s="558" t="s">
        <v>311</v>
      </c>
      <c r="D20" s="558" t="s">
        <v>6</v>
      </c>
      <c r="E20" s="558">
        <f>$E$3</f>
        <v>2023</v>
      </c>
      <c r="F20" s="559" t="s">
        <v>332</v>
      </c>
      <c r="G20" s="560" t="str">
        <f>$G$3</f>
        <v>▲2023</v>
      </c>
      <c r="H20" s="559" t="s">
        <v>333</v>
      </c>
      <c r="I20" s="560" t="str">
        <f>$I$3</f>
        <v>% ▲ 2023</v>
      </c>
      <c r="J20" s="1031" t="s">
        <v>329</v>
      </c>
    </row>
    <row r="21" spans="1:25" ht="15" customHeight="1">
      <c r="B21" s="553" t="s">
        <v>312</v>
      </c>
      <c r="C21" s="571">
        <f>+Print_Mois!$J$97</f>
        <v>5</v>
      </c>
      <c r="D21" s="571">
        <f>+Print_Mois!$D$97</f>
        <v>12</v>
      </c>
      <c r="E21" s="571">
        <f>+Print_Mois!$O$97</f>
        <v>13</v>
      </c>
      <c r="F21" s="572">
        <f t="shared" ref="F21:F32" si="4">+IFERROR($C21-D21,"")</f>
        <v>-7</v>
      </c>
      <c r="G21" s="573">
        <f t="shared" ref="G21:G32" si="5">+IFERROR($C21-E21,"")</f>
        <v>-8</v>
      </c>
      <c r="H21" s="765">
        <f t="shared" ref="H21:H32" si="6">+IFERROR(F21/ABS($D21),"")</f>
        <v>-0.58333333333333337</v>
      </c>
      <c r="I21" s="1023">
        <f t="shared" ref="I21:I32" si="7">+IFERROR(G21/ABS($E21),"")</f>
        <v>-0.61538461538461542</v>
      </c>
      <c r="J21" s="1294"/>
    </row>
    <row r="22" spans="1:25">
      <c r="B22" s="554" t="s">
        <v>313</v>
      </c>
      <c r="C22" s="673">
        <f>+Print_Mois!$L$97</f>
        <v>7569.1100000000042</v>
      </c>
      <c r="D22" s="673">
        <f>+Print_Mois!$F$97</f>
        <v>21600</v>
      </c>
      <c r="E22" s="673">
        <f>+Print_Mois!$Q$97</f>
        <v>10310.770000000011</v>
      </c>
      <c r="F22" s="674">
        <f t="shared" si="4"/>
        <v>-14030.889999999996</v>
      </c>
      <c r="G22" s="675">
        <f t="shared" si="5"/>
        <v>-2741.6600000000071</v>
      </c>
      <c r="H22" s="740">
        <f t="shared" si="6"/>
        <v>-0.64957824074074055</v>
      </c>
      <c r="I22" s="1024">
        <f t="shared" si="7"/>
        <v>-0.26590254656053858</v>
      </c>
      <c r="J22" s="1295"/>
    </row>
    <row r="23" spans="1:25">
      <c r="B23" s="554" t="s">
        <v>314</v>
      </c>
      <c r="C23" s="673">
        <f>+C22/C21</f>
        <v>1513.8220000000008</v>
      </c>
      <c r="D23" s="673">
        <f>+D22/D21</f>
        <v>1800</v>
      </c>
      <c r="E23" s="673">
        <f>+E22/E21</f>
        <v>793.13615384615468</v>
      </c>
      <c r="F23" s="674">
        <f t="shared" si="4"/>
        <v>-286.1779999999992</v>
      </c>
      <c r="G23" s="675">
        <f t="shared" si="5"/>
        <v>720.68584615384611</v>
      </c>
      <c r="H23" s="741">
        <f t="shared" si="6"/>
        <v>-0.15898777777777734</v>
      </c>
      <c r="I23" s="1025">
        <f t="shared" si="7"/>
        <v>0.90865337894259979</v>
      </c>
      <c r="J23" s="1295"/>
    </row>
    <row r="24" spans="1:25">
      <c r="B24" s="554" t="s">
        <v>315</v>
      </c>
      <c r="C24" s="673">
        <f>+Print_Mois!$L$112</f>
        <v>3981.1</v>
      </c>
      <c r="D24" s="673">
        <f>+Print_Mois!$F$112</f>
        <v>8083.8314176245212</v>
      </c>
      <c r="E24" s="673">
        <f>+Print_Mois!$Q$112</f>
        <v>10698.86</v>
      </c>
      <c r="F24" s="674">
        <f t="shared" si="4"/>
        <v>-4102.7314176245218</v>
      </c>
      <c r="G24" s="675">
        <f t="shared" si="5"/>
        <v>-6717.76</v>
      </c>
      <c r="H24" s="740">
        <f t="shared" si="6"/>
        <v>-0.50752312927749454</v>
      </c>
      <c r="I24" s="1024">
        <f t="shared" si="7"/>
        <v>-0.62789493460050883</v>
      </c>
      <c r="J24" s="1295"/>
    </row>
    <row r="25" spans="1:25">
      <c r="B25" s="554" t="s">
        <v>316</v>
      </c>
      <c r="C25" s="678">
        <f>+C24/C22</f>
        <v>0.5259667252821002</v>
      </c>
      <c r="D25" s="678">
        <f>+D24/D22</f>
        <v>0.37425145451965375</v>
      </c>
      <c r="E25" s="678">
        <f>+E24/E22</f>
        <v>1.037639283972001</v>
      </c>
      <c r="F25" s="676">
        <f t="shared" si="4"/>
        <v>0.15171527076244645</v>
      </c>
      <c r="G25" s="677">
        <f t="shared" si="5"/>
        <v>-0.5116725586899008</v>
      </c>
      <c r="H25" s="740">
        <f t="shared" si="6"/>
        <v>0.40538324949777627</v>
      </c>
      <c r="I25" s="1024">
        <f t="shared" si="7"/>
        <v>-0.49311216970434923</v>
      </c>
      <c r="J25" s="1295"/>
      <c r="N25" s="1131"/>
      <c r="O25" s="1131"/>
      <c r="P25" s="1131"/>
      <c r="Q25" s="1131"/>
      <c r="R25" s="1131"/>
      <c r="S25" s="1131"/>
      <c r="T25" s="1131"/>
      <c r="U25" s="1131"/>
      <c r="V25" s="1131"/>
      <c r="W25" s="1131"/>
      <c r="X25" s="1131"/>
      <c r="Y25" s="1131"/>
    </row>
    <row r="26" spans="1:25">
      <c r="B26" s="554" t="s">
        <v>317</v>
      </c>
      <c r="C26" s="673">
        <f>+Print_Mois!$L$105</f>
        <v>16477.93</v>
      </c>
      <c r="D26" s="673">
        <f>+Print_Mois!$F$105</f>
        <v>17400</v>
      </c>
      <c r="E26" s="673">
        <f>+Print_Mois!$Q$105</f>
        <v>18570.859999999891</v>
      </c>
      <c r="F26" s="674">
        <f t="shared" si="4"/>
        <v>-922.06999999999971</v>
      </c>
      <c r="G26" s="675">
        <f t="shared" si="5"/>
        <v>-2092.9299999998912</v>
      </c>
      <c r="H26" s="740">
        <f t="shared" si="6"/>
        <v>-5.299252873563217E-2</v>
      </c>
      <c r="I26" s="1024">
        <f t="shared" si="7"/>
        <v>-0.11269968111330889</v>
      </c>
      <c r="J26" s="1295"/>
      <c r="N26" s="1131"/>
      <c r="O26" s="1131"/>
      <c r="P26" s="1131"/>
      <c r="Q26" s="1131"/>
      <c r="R26" s="1131"/>
      <c r="S26" s="1131"/>
      <c r="T26" s="1131"/>
      <c r="U26" s="1131"/>
      <c r="V26" s="1131"/>
      <c r="W26" s="1131"/>
      <c r="X26" s="1131"/>
      <c r="Y26" s="1131"/>
    </row>
    <row r="27" spans="1:25">
      <c r="B27" s="554" t="s">
        <v>318</v>
      </c>
      <c r="C27" s="673">
        <f>+C26/C21</f>
        <v>3295.5860000000002</v>
      </c>
      <c r="D27" s="673">
        <f>+D26/D21</f>
        <v>1450</v>
      </c>
      <c r="E27" s="673">
        <f>+E26/E21</f>
        <v>1428.527692307684</v>
      </c>
      <c r="F27" s="674">
        <f t="shared" si="4"/>
        <v>1845.5860000000002</v>
      </c>
      <c r="G27" s="675">
        <f t="shared" si="5"/>
        <v>1867.0583076923162</v>
      </c>
      <c r="H27" s="741">
        <f t="shared" si="6"/>
        <v>1.2728179310344829</v>
      </c>
      <c r="I27" s="1025">
        <f t="shared" si="7"/>
        <v>1.306980829105397</v>
      </c>
      <c r="J27" s="1295"/>
      <c r="N27" s="1129"/>
      <c r="O27" s="1129"/>
      <c r="P27" s="1129"/>
      <c r="Q27" s="1129"/>
      <c r="R27" s="1129"/>
      <c r="S27" s="1129"/>
      <c r="T27" s="1129"/>
      <c r="U27" s="1129"/>
      <c r="V27" s="1129"/>
      <c r="W27" s="1129"/>
      <c r="X27" s="1129"/>
      <c r="Y27" s="1129"/>
    </row>
    <row r="28" spans="1:25">
      <c r="B28" s="554" t="s">
        <v>319</v>
      </c>
      <c r="C28" s="673">
        <f>+Print_Mois!$L$113</f>
        <v>5324.57</v>
      </c>
      <c r="D28" s="673">
        <f>+Print_Mois!$F$113</f>
        <v>4785</v>
      </c>
      <c r="E28" s="673">
        <f>+Print_Mois!$Q$113</f>
        <v>5041.63</v>
      </c>
      <c r="F28" s="674">
        <f t="shared" si="4"/>
        <v>539.56999999999971</v>
      </c>
      <c r="G28" s="675">
        <f t="shared" si="5"/>
        <v>282.9399999999996</v>
      </c>
      <c r="H28" s="740">
        <f t="shared" si="6"/>
        <v>0.11276280041797278</v>
      </c>
      <c r="I28" s="1024">
        <f t="shared" si="7"/>
        <v>5.6120738729339439E-2</v>
      </c>
      <c r="J28" s="1295"/>
    </row>
    <row r="29" spans="1:25">
      <c r="B29" s="554" t="s">
        <v>320</v>
      </c>
      <c r="C29" s="678">
        <f>+C28/C26</f>
        <v>0.32313342756037922</v>
      </c>
      <c r="D29" s="678">
        <f>+D28/D26</f>
        <v>0.27500000000000002</v>
      </c>
      <c r="E29" s="678">
        <f>+E28/E26</f>
        <v>0.27148069610131298</v>
      </c>
      <c r="F29" s="676">
        <f t="shared" si="4"/>
        <v>4.8133427560379194E-2</v>
      </c>
      <c r="G29" s="679">
        <f t="shared" si="5"/>
        <v>5.1652731459066237E-2</v>
      </c>
      <c r="H29" s="740">
        <f t="shared" si="6"/>
        <v>0.17503064567410614</v>
      </c>
      <c r="I29" s="1024">
        <f t="shared" si="7"/>
        <v>0.19026299917762893</v>
      </c>
      <c r="J29" s="1295"/>
    </row>
    <row r="30" spans="1:25">
      <c r="B30" s="554" t="s">
        <v>321</v>
      </c>
      <c r="C30" s="673">
        <f>+Print_Mois!$L$122-C24-C28</f>
        <v>4558.2899999999991</v>
      </c>
      <c r="D30" s="673">
        <f>+Print_Mois!$F$122-D24-D28</f>
        <v>15487.199568306012</v>
      </c>
      <c r="E30" s="673">
        <f>+Print_Mois!$Q$122-E24-E28</f>
        <v>16189.59</v>
      </c>
      <c r="F30" s="674">
        <f t="shared" si="4"/>
        <v>-10928.909568306013</v>
      </c>
      <c r="G30" s="675">
        <f t="shared" si="5"/>
        <v>-11631.300000000001</v>
      </c>
      <c r="H30" s="740">
        <f t="shared" si="6"/>
        <v>-0.70567370944658236</v>
      </c>
      <c r="I30" s="1024">
        <f t="shared" si="7"/>
        <v>-0.71844314772640949</v>
      </c>
      <c r="J30" s="1295"/>
    </row>
    <row r="31" spans="1:25">
      <c r="B31" s="554" t="s">
        <v>322</v>
      </c>
      <c r="C31" s="673">
        <f>+C30/C21</f>
        <v>911.65799999999979</v>
      </c>
      <c r="D31" s="673">
        <f>+D30/D21</f>
        <v>1290.5999640255011</v>
      </c>
      <c r="E31" s="673">
        <f>+E30/E21</f>
        <v>1245.353076923077</v>
      </c>
      <c r="F31" s="674">
        <f t="shared" si="4"/>
        <v>-378.94196402550131</v>
      </c>
      <c r="G31" s="675">
        <f t="shared" si="5"/>
        <v>-333.69507692307718</v>
      </c>
      <c r="H31" s="740">
        <f t="shared" si="6"/>
        <v>-0.2936169026717978</v>
      </c>
      <c r="I31" s="1024">
        <f>+IFERROR(G31/ABS($E31),"")</f>
        <v>-0.26795218408866456</v>
      </c>
      <c r="J31" s="1295"/>
    </row>
    <row r="32" spans="1:25">
      <c r="B32" s="554" t="s">
        <v>323</v>
      </c>
      <c r="C32" s="673">
        <f>+Print_Mois!$L$163</f>
        <v>2975</v>
      </c>
      <c r="D32" s="673">
        <f>+Print_Mois!$F$163</f>
        <v>7962.2</v>
      </c>
      <c r="E32" s="673">
        <f>+Print_Mois!$Q$163</f>
        <v>5095</v>
      </c>
      <c r="F32" s="674">
        <f t="shared" si="4"/>
        <v>-4987.2</v>
      </c>
      <c r="G32" s="675">
        <f t="shared" si="5"/>
        <v>-2120</v>
      </c>
      <c r="H32" s="740">
        <f t="shared" si="6"/>
        <v>-0.62635954886840317</v>
      </c>
      <c r="I32" s="1024">
        <f t="shared" si="7"/>
        <v>-0.41609421000981356</v>
      </c>
      <c r="J32" s="1295"/>
    </row>
    <row r="33" spans="2:10">
      <c r="B33" s="556" t="s">
        <v>324</v>
      </c>
      <c r="C33" s="680"/>
      <c r="D33" s="680"/>
      <c r="E33" s="680"/>
      <c r="F33" s="681"/>
      <c r="G33" s="682"/>
      <c r="H33" s="683"/>
      <c r="I33" s="1030"/>
      <c r="J33" s="1295"/>
    </row>
    <row r="34" spans="2:10">
      <c r="B34" s="722" t="s">
        <v>312</v>
      </c>
      <c r="C34" s="723">
        <v>34</v>
      </c>
      <c r="D34" s="723">
        <v>49</v>
      </c>
      <c r="E34" s="1104">
        <v>50</v>
      </c>
      <c r="F34" s="724">
        <f>+IFERROR($C34-D34,"")</f>
        <v>-15</v>
      </c>
      <c r="G34" s="725">
        <f>+IFERROR($C34-E34,"")</f>
        <v>-16</v>
      </c>
      <c r="H34" s="676">
        <f>+IFERROR(F34/ABS($D34),"")</f>
        <v>-0.30612244897959184</v>
      </c>
      <c r="I34" s="1027">
        <f>+IFERROR(G34/ABS($E34),"")</f>
        <v>-0.32</v>
      </c>
      <c r="J34" s="1295"/>
    </row>
    <row r="35" spans="2:10">
      <c r="B35" s="730" t="s">
        <v>285</v>
      </c>
      <c r="C35" s="731">
        <v>1213676</v>
      </c>
      <c r="D35" s="731">
        <v>1854049.5098039214</v>
      </c>
      <c r="E35" s="731">
        <v>1972155.4199999997</v>
      </c>
      <c r="F35" s="684">
        <f>+IFERROR($C35-D35,"")</f>
        <v>-640373.50980392145</v>
      </c>
      <c r="G35" s="685">
        <f>+IFERROR($C35-E35,"")</f>
        <v>-758479.41999999969</v>
      </c>
      <c r="H35" s="686">
        <f>+IFERROR(F35/ABS($D35),"")</f>
        <v>-0.34539180664687069</v>
      </c>
      <c r="I35" s="1028">
        <f>+IFERROR(G35/ABS($E35),"")</f>
        <v>-0.38459414116560847</v>
      </c>
      <c r="J35" s="1296"/>
    </row>
    <row r="36" spans="2:10">
      <c r="C36" s="687"/>
      <c r="D36" s="687"/>
      <c r="E36" s="687"/>
      <c r="F36" s="687"/>
      <c r="G36" s="687"/>
      <c r="H36" s="687"/>
      <c r="I36" s="687"/>
    </row>
    <row r="37" spans="2:10">
      <c r="B37" s="567" t="s">
        <v>147</v>
      </c>
      <c r="C37" s="568" t="s">
        <v>311</v>
      </c>
      <c r="D37" s="568" t="s">
        <v>6</v>
      </c>
      <c r="E37" s="568">
        <f>$E$3</f>
        <v>2023</v>
      </c>
      <c r="F37" s="569" t="s">
        <v>332</v>
      </c>
      <c r="G37" s="570" t="str">
        <f>$G$3</f>
        <v>▲2023</v>
      </c>
      <c r="H37" s="569" t="s">
        <v>333</v>
      </c>
      <c r="I37" s="570" t="str">
        <f>$I$3</f>
        <v>% ▲ 2023</v>
      </c>
      <c r="J37" s="1033" t="s">
        <v>329</v>
      </c>
    </row>
    <row r="38" spans="2:10" ht="28.15" customHeight="1">
      <c r="B38" s="553" t="s">
        <v>325</v>
      </c>
      <c r="C38" s="574">
        <f>+Print_Mois!$K$194</f>
        <v>97732.56</v>
      </c>
      <c r="D38" s="574">
        <f>+Print_Mois!$E$194</f>
        <v>100490.98073492185</v>
      </c>
      <c r="E38" s="574">
        <f>+Print_Mois!$P$194</f>
        <v>122270.69</v>
      </c>
      <c r="F38" s="575">
        <f t="shared" ref="F38:F47" si="8">+IFERROR($C38-D38,"")</f>
        <v>-2758.4207349218486</v>
      </c>
      <c r="G38" s="576">
        <f t="shared" ref="G38:G47" si="9">+IFERROR($C38-E38,"")</f>
        <v>-24538.130000000005</v>
      </c>
      <c r="H38" s="765">
        <f t="shared" ref="H38:H47" si="10">+IFERROR(F38/ABS($D38),"")</f>
        <v>-2.7449435907070052E-2</v>
      </c>
      <c r="I38" s="1023">
        <f t="shared" ref="I38:I47" si="11">+IFERROR(G38/ABS($E38),"")</f>
        <v>-0.20068693486558392</v>
      </c>
      <c r="J38" s="1294"/>
    </row>
    <row r="39" spans="2:10">
      <c r="B39" s="553" t="s">
        <v>334</v>
      </c>
      <c r="C39" s="574">
        <f>+Print_Mois!$L$194</f>
        <v>66861.55</v>
      </c>
      <c r="D39" s="574">
        <f>+Print_Mois!$F$194</f>
        <v>64133.687378949136</v>
      </c>
      <c r="E39" s="574">
        <f>+Print_Mois!$Q$194</f>
        <v>72252.350000000006</v>
      </c>
      <c r="F39" s="575">
        <f t="shared" si="8"/>
        <v>2727.8626210508664</v>
      </c>
      <c r="G39" s="576">
        <f t="shared" si="9"/>
        <v>-5390.8000000000029</v>
      </c>
      <c r="H39" s="766">
        <f t="shared" si="10"/>
        <v>4.2534005645623367E-2</v>
      </c>
      <c r="I39" s="1032">
        <f t="shared" si="11"/>
        <v>-7.4610722004197827E-2</v>
      </c>
      <c r="J39" s="1295"/>
    </row>
    <row r="40" spans="2:10">
      <c r="B40" s="554" t="s">
        <v>335</v>
      </c>
      <c r="C40" s="673">
        <f>+Print_Mois!$K$172/Print_Mois!$J$172</f>
        <v>357.725737704918</v>
      </c>
      <c r="D40" s="1001">
        <v>324</v>
      </c>
      <c r="E40" s="673">
        <f>+Print_Mois!$P$172/Print_Mois!$O$172</f>
        <v>304.06525773195881</v>
      </c>
      <c r="F40" s="674">
        <f t="shared" si="8"/>
        <v>33.725737704918004</v>
      </c>
      <c r="G40" s="675">
        <f t="shared" si="9"/>
        <v>53.660479972959195</v>
      </c>
      <c r="H40" s="740">
        <f t="shared" si="10"/>
        <v>0.10409178303987038</v>
      </c>
      <c r="I40" s="1024">
        <f t="shared" si="11"/>
        <v>0.17647685359786242</v>
      </c>
      <c r="J40" s="1295"/>
    </row>
    <row r="41" spans="2:10">
      <c r="B41" s="554" t="s">
        <v>336</v>
      </c>
      <c r="C41" s="673">
        <f>+Print_Mois!$K$175/Print_Mois!$J$175</f>
        <v>133.89675977653633</v>
      </c>
      <c r="D41" s="1001">
        <v>145</v>
      </c>
      <c r="E41" s="673">
        <f>+Print_Mois!$P$175/Print_Mois!$O$175</f>
        <v>244.77356643356646</v>
      </c>
      <c r="F41" s="674">
        <f t="shared" si="8"/>
        <v>-11.103240223463672</v>
      </c>
      <c r="G41" s="675">
        <f t="shared" si="9"/>
        <v>-110.87680665703013</v>
      </c>
      <c r="H41" s="740">
        <f t="shared" si="10"/>
        <v>-7.6574070506646011E-2</v>
      </c>
      <c r="I41" s="1024">
        <f t="shared" si="11"/>
        <v>-0.45297704434568919</v>
      </c>
      <c r="J41" s="1295"/>
    </row>
    <row r="42" spans="2:10">
      <c r="B42" s="554" t="s">
        <v>328</v>
      </c>
      <c r="C42" s="688">
        <f>+Print_Mois!$L$184</f>
        <v>-3692.2200000000003</v>
      </c>
      <c r="D42" s="688">
        <f>+Print_Mois!$F$184</f>
        <v>-1821.2512731550603</v>
      </c>
      <c r="E42" s="688">
        <f>+Print_Mois!$Q$184</f>
        <v>-2565.34</v>
      </c>
      <c r="F42" s="674">
        <f t="shared" si="8"/>
        <v>-1870.96872684494</v>
      </c>
      <c r="G42" s="675">
        <f t="shared" si="9"/>
        <v>-1126.8800000000001</v>
      </c>
      <c r="H42" s="740">
        <f t="shared" si="10"/>
        <v>-1.0272985141713868</v>
      </c>
      <c r="I42" s="1024">
        <f t="shared" si="11"/>
        <v>-0.43927120771515671</v>
      </c>
      <c r="J42" s="1295"/>
    </row>
    <row r="43" spans="2:10">
      <c r="B43" s="554" t="s">
        <v>337</v>
      </c>
      <c r="C43" s="673">
        <f>+Print_Mois!$L$210</f>
        <v>63036.23000000001</v>
      </c>
      <c r="D43" s="673">
        <f>+Print_Mois!$F$210</f>
        <v>64793.709244394558</v>
      </c>
      <c r="E43" s="673">
        <f>+Print_Mois!$Q$210</f>
        <v>67437.600000000006</v>
      </c>
      <c r="F43" s="674">
        <f t="shared" si="8"/>
        <v>-1757.479244394548</v>
      </c>
      <c r="G43" s="675">
        <f t="shared" si="9"/>
        <v>-4401.3699999999953</v>
      </c>
      <c r="H43" s="740">
        <f t="shared" si="10"/>
        <v>-2.7124226485715375E-2</v>
      </c>
      <c r="I43" s="1024">
        <f t="shared" si="11"/>
        <v>-6.526581610258958E-2</v>
      </c>
      <c r="J43" s="1295"/>
    </row>
    <row r="44" spans="2:10">
      <c r="B44" s="555" t="s">
        <v>338</v>
      </c>
      <c r="C44" s="673">
        <f>+SUM(Print_Mois!$L$198:$L$204)</f>
        <v>32510.36</v>
      </c>
      <c r="D44" s="673">
        <f>+SUM(Print_Mois!$F$198:$F$204)</f>
        <v>35836.16610757442</v>
      </c>
      <c r="E44" s="673">
        <f>+SUM(Print_Mois!$Q$198:$Q$204)</f>
        <v>36361.020000000004</v>
      </c>
      <c r="F44" s="674">
        <f t="shared" si="8"/>
        <v>-3325.806107574419</v>
      </c>
      <c r="G44" s="675">
        <f t="shared" si="9"/>
        <v>-3850.6600000000035</v>
      </c>
      <c r="H44" s="740">
        <f t="shared" si="10"/>
        <v>-9.2805857010230475E-2</v>
      </c>
      <c r="I44" s="1024">
        <f t="shared" si="11"/>
        <v>-0.10590076956036995</v>
      </c>
      <c r="J44" s="1295"/>
    </row>
    <row r="45" spans="2:10">
      <c r="B45" s="555" t="s">
        <v>339</v>
      </c>
      <c r="C45" s="673">
        <f>+SUM(Print_Mois!$L$205:$L$209)</f>
        <v>30525.870000000003</v>
      </c>
      <c r="D45" s="673">
        <f>+SUM(Print_Mois!$F$205:$F$209)</f>
        <v>28957.543136820139</v>
      </c>
      <c r="E45" s="673">
        <f>+SUM(Print_Mois!$Q$205:$Q$209)</f>
        <v>31076.58</v>
      </c>
      <c r="F45" s="674">
        <f t="shared" si="8"/>
        <v>1568.3268631798637</v>
      </c>
      <c r="G45" s="675">
        <f t="shared" si="9"/>
        <v>-550.70999999999913</v>
      </c>
      <c r="H45" s="740">
        <f t="shared" si="10"/>
        <v>5.4159527822154996E-2</v>
      </c>
      <c r="I45" s="1024">
        <f t="shared" si="11"/>
        <v>-1.7721061970139541E-2</v>
      </c>
      <c r="J45" s="1295"/>
    </row>
    <row r="46" spans="2:10">
      <c r="B46" s="554" t="s">
        <v>348</v>
      </c>
      <c r="C46" s="713">
        <f>+C43/C38</f>
        <v>0.64498699307579799</v>
      </c>
      <c r="D46" s="713">
        <f>+D43/D38</f>
        <v>0.64477138913898524</v>
      </c>
      <c r="E46" s="713">
        <f>+E43/E38</f>
        <v>0.55154346475021943</v>
      </c>
      <c r="F46" s="676">
        <f t="shared" si="8"/>
        <v>2.1560393681274714E-4</v>
      </c>
      <c r="G46" s="677">
        <f t="shared" si="9"/>
        <v>9.3443528325578562E-2</v>
      </c>
      <c r="H46" s="740">
        <f t="shared" si="10"/>
        <v>3.3438818850299839E-4</v>
      </c>
      <c r="I46" s="1024">
        <f t="shared" si="11"/>
        <v>0.16942187569550271</v>
      </c>
      <c r="J46" s="1295"/>
    </row>
    <row r="47" spans="2:10">
      <c r="B47" s="577" t="s">
        <v>120</v>
      </c>
      <c r="C47" s="689">
        <f>+Print_Mois!$L$213</f>
        <v>2408.88</v>
      </c>
      <c r="D47" s="689">
        <f>+Print_Mois!$F$213</f>
        <v>3992.8333333333335</v>
      </c>
      <c r="E47" s="689">
        <f>+Print_Mois!$Q$213</f>
        <v>7241.34</v>
      </c>
      <c r="F47" s="684">
        <f t="shared" si="8"/>
        <v>-1583.9533333333334</v>
      </c>
      <c r="G47" s="685">
        <f t="shared" si="9"/>
        <v>-4832.46</v>
      </c>
      <c r="H47" s="744">
        <f t="shared" si="10"/>
        <v>-0.39669908586216973</v>
      </c>
      <c r="I47" s="1028">
        <f t="shared" si="11"/>
        <v>-0.66734333700668658</v>
      </c>
      <c r="J47" s="1296"/>
    </row>
    <row r="48" spans="2:10">
      <c r="C48" s="687"/>
      <c r="D48" s="687"/>
      <c r="E48" s="687">
        <v>23</v>
      </c>
      <c r="F48" s="687"/>
      <c r="G48" s="687"/>
      <c r="H48" s="687"/>
      <c r="I48" s="687"/>
    </row>
    <row r="49" spans="2:25">
      <c r="B49" s="578" t="s">
        <v>330</v>
      </c>
      <c r="C49" s="579" t="s">
        <v>311</v>
      </c>
      <c r="D49" s="579" t="s">
        <v>6</v>
      </c>
      <c r="E49" s="579">
        <f>$E$3</f>
        <v>2023</v>
      </c>
      <c r="F49" s="580" t="s">
        <v>332</v>
      </c>
      <c r="G49" s="581" t="str">
        <f>$G$3</f>
        <v>▲2023</v>
      </c>
      <c r="H49" s="580" t="s">
        <v>333</v>
      </c>
      <c r="I49" s="581" t="str">
        <f>$I$3</f>
        <v>% ▲ 2023</v>
      </c>
      <c r="J49" s="1035" t="s">
        <v>329</v>
      </c>
    </row>
    <row r="50" spans="2:25" ht="14.45" customHeight="1">
      <c r="B50" s="582" t="s">
        <v>325</v>
      </c>
      <c r="C50" s="574">
        <f>+Print_Mois!$J$314</f>
        <v>210972.11000000004</v>
      </c>
      <c r="D50" s="574">
        <f>+Print_Mois!$D$314</f>
        <v>238489.88205227797</v>
      </c>
      <c r="E50" s="574">
        <f>+Print_Mois!$O$314</f>
        <v>237483.64999999991</v>
      </c>
      <c r="F50" s="575">
        <f t="shared" ref="F50:F59" si="12">+IFERROR($C50-D50,"")</f>
        <v>-27517.772052277927</v>
      </c>
      <c r="G50" s="576">
        <f t="shared" ref="G50:G59" si="13">+IFERROR($C50-E50,"")</f>
        <v>-26511.539999999863</v>
      </c>
      <c r="H50" s="765">
        <f t="shared" ref="H50:H59" si="14">+IFERROR(F50/ABS($D50),"")</f>
        <v>-0.11538339411080725</v>
      </c>
      <c r="I50" s="1023">
        <f t="shared" ref="I50:I59" si="15">+IFERROR(G50/ABS($E50),"")</f>
        <v>-0.11163522204581189</v>
      </c>
      <c r="J50" s="1294"/>
    </row>
    <row r="51" spans="2:25">
      <c r="B51" s="690" t="s">
        <v>326</v>
      </c>
      <c r="C51" s="673">
        <f>+Print_Mois!$J$295</f>
        <v>47664.43</v>
      </c>
      <c r="D51" s="673">
        <f>+Print_Mois!$D$295</f>
        <v>46487.316997401977</v>
      </c>
      <c r="E51" s="673">
        <f>+Print_Mois!$O$295</f>
        <v>33417.71</v>
      </c>
      <c r="F51" s="674">
        <f t="shared" si="12"/>
        <v>1177.1130025980237</v>
      </c>
      <c r="G51" s="675">
        <f t="shared" si="13"/>
        <v>14246.720000000001</v>
      </c>
      <c r="H51" s="740">
        <f t="shared" si="14"/>
        <v>2.5321164537497588E-2</v>
      </c>
      <c r="I51" s="1024">
        <f t="shared" si="15"/>
        <v>0.42632244998235969</v>
      </c>
      <c r="J51" s="1295"/>
    </row>
    <row r="52" spans="2:25">
      <c r="B52" s="690" t="s">
        <v>327</v>
      </c>
      <c r="C52" s="673">
        <f>+Print_Mois!$J$297</f>
        <v>26379.730000000003</v>
      </c>
      <c r="D52" s="673">
        <f>+Print_Mois!$D$297</f>
        <v>39488.844264590873</v>
      </c>
      <c r="E52" s="673">
        <f>+Print_Mois!$O$297</f>
        <v>57248.619999999901</v>
      </c>
      <c r="F52" s="674">
        <f t="shared" si="12"/>
        <v>-13109.114264590869</v>
      </c>
      <c r="G52" s="675">
        <f t="shared" si="13"/>
        <v>-30868.889999999898</v>
      </c>
      <c r="H52" s="740">
        <f t="shared" si="14"/>
        <v>-0.3319700667042727</v>
      </c>
      <c r="I52" s="1024">
        <f t="shared" si="15"/>
        <v>-0.53920758264565938</v>
      </c>
      <c r="J52" s="1295"/>
    </row>
    <row r="53" spans="2:25">
      <c r="B53" s="690" t="s">
        <v>340</v>
      </c>
      <c r="C53" s="673">
        <f>+Print_Mois!$J$300</f>
        <v>47567.43</v>
      </c>
      <c r="D53" s="673">
        <f>+Print_Mois!$D$300</f>
        <v>52086.308757231716</v>
      </c>
      <c r="E53" s="673">
        <f>+Print_Mois!$O$300</f>
        <v>33456.9</v>
      </c>
      <c r="F53" s="674">
        <f t="shared" si="12"/>
        <v>-4518.878757231716</v>
      </c>
      <c r="G53" s="675">
        <f t="shared" si="13"/>
        <v>14110.529999999999</v>
      </c>
      <c r="H53" s="740">
        <f t="shared" si="14"/>
        <v>-8.6757515843437646E-2</v>
      </c>
      <c r="I53" s="1024">
        <f t="shared" si="15"/>
        <v>0.42175246361737034</v>
      </c>
      <c r="J53" s="1295"/>
    </row>
    <row r="54" spans="2:25">
      <c r="B54" s="690" t="s">
        <v>341</v>
      </c>
      <c r="C54" s="673">
        <f>+Print_Mois!$J$307</f>
        <v>53238.36</v>
      </c>
      <c r="D54" s="673">
        <f>+Print_Mois!$D$307</f>
        <v>53071.95102089065</v>
      </c>
      <c r="E54" s="673">
        <f>+Print_Mois!$O$307</f>
        <v>62110.35</v>
      </c>
      <c r="F54" s="674">
        <f t="shared" si="12"/>
        <v>166.40897910935018</v>
      </c>
      <c r="G54" s="675">
        <f t="shared" si="13"/>
        <v>-8871.989999999998</v>
      </c>
      <c r="H54" s="740">
        <f t="shared" si="14"/>
        <v>3.1355353611147029E-3</v>
      </c>
      <c r="I54" s="1024">
        <f t="shared" si="15"/>
        <v>-0.14284237651212717</v>
      </c>
      <c r="J54" s="1295"/>
      <c r="N54" s="1130"/>
      <c r="O54" s="1130"/>
      <c r="P54" s="1130"/>
      <c r="Q54" s="1130"/>
      <c r="R54" s="1130"/>
      <c r="S54" s="1130"/>
      <c r="T54" s="1130"/>
      <c r="U54" s="1130"/>
      <c r="V54" s="1130"/>
      <c r="W54" s="1130"/>
      <c r="X54" s="1130"/>
      <c r="Y54" s="1130"/>
    </row>
    <row r="55" spans="2:25">
      <c r="B55" s="690" t="s">
        <v>342</v>
      </c>
      <c r="C55" s="673">
        <f>+C50-SUM(C51:C54)</f>
        <v>36122.160000000033</v>
      </c>
      <c r="D55" s="673">
        <f>+D50-SUM(D51:D54)</f>
        <v>47355.461012162763</v>
      </c>
      <c r="E55" s="673">
        <f>+E50-SUM(E51:E54)</f>
        <v>51250.070000000007</v>
      </c>
      <c r="F55" s="674">
        <f t="shared" si="12"/>
        <v>-11233.30101216273</v>
      </c>
      <c r="G55" s="675">
        <f t="shared" si="13"/>
        <v>-15127.909999999974</v>
      </c>
      <c r="H55" s="740">
        <f t="shared" si="14"/>
        <v>-0.23721236731868311</v>
      </c>
      <c r="I55" s="1024">
        <f t="shared" si="15"/>
        <v>-0.29517832853691656</v>
      </c>
      <c r="J55" s="1295"/>
    </row>
    <row r="56" spans="2:25">
      <c r="B56" s="553" t="s">
        <v>334</v>
      </c>
      <c r="C56" s="574">
        <f>+Print_Mois!$L$314</f>
        <v>62155.860000000008</v>
      </c>
      <c r="D56" s="574">
        <f>+Print_Mois!$F$314</f>
        <v>73711.110237008194</v>
      </c>
      <c r="E56" s="574">
        <f>+Print_Mois!$Q$314</f>
        <v>90950.609999999695</v>
      </c>
      <c r="F56" s="575">
        <f t="shared" si="12"/>
        <v>-11555.250237008186</v>
      </c>
      <c r="G56" s="576">
        <f t="shared" si="13"/>
        <v>-28794.749999999687</v>
      </c>
      <c r="H56" s="766">
        <f t="shared" si="14"/>
        <v>-0.15676402376594015</v>
      </c>
      <c r="I56" s="1032">
        <f t="shared" si="15"/>
        <v>-0.31659765668421336</v>
      </c>
      <c r="J56" s="1295"/>
      <c r="N56" s="1130"/>
      <c r="O56" s="1130"/>
      <c r="P56" s="1130"/>
      <c r="Q56" s="1130"/>
      <c r="R56" s="1130"/>
      <c r="S56" s="1130"/>
      <c r="T56" s="1130"/>
      <c r="U56" s="1130"/>
      <c r="V56" s="1130"/>
      <c r="W56" s="1130"/>
      <c r="X56" s="1130"/>
      <c r="Y56" s="1130"/>
    </row>
    <row r="57" spans="2:25">
      <c r="B57" s="554" t="s">
        <v>335</v>
      </c>
      <c r="C57" s="673">
        <f>+Print_Mois!$J$295/Print_Mois!$J$172</f>
        <v>390.6920491803279</v>
      </c>
      <c r="D57" s="1001">
        <v>301</v>
      </c>
      <c r="E57" s="673">
        <f>+Print_Mois!$O$295/Print_Mois!$O$172</f>
        <v>344.5124742268041</v>
      </c>
      <c r="F57" s="674">
        <f t="shared" si="12"/>
        <v>89.692049180327899</v>
      </c>
      <c r="G57" s="675">
        <f t="shared" si="13"/>
        <v>46.179574953523797</v>
      </c>
      <c r="H57" s="740">
        <f t="shared" si="14"/>
        <v>0.29798022983497641</v>
      </c>
      <c r="I57" s="1024">
        <f t="shared" si="15"/>
        <v>0.13404325941220416</v>
      </c>
      <c r="J57" s="1295"/>
    </row>
    <row r="58" spans="2:25">
      <c r="B58" s="554" t="s">
        <v>336</v>
      </c>
      <c r="C58" s="673">
        <f>+Print_Mois!$J$297/Print_Mois!$J$175</f>
        <v>147.37279329608941</v>
      </c>
      <c r="D58" s="1001">
        <v>306</v>
      </c>
      <c r="E58" s="673">
        <f>+Print_Mois!$O$297/Print_Mois!$O$175</f>
        <v>400.33999999999929</v>
      </c>
      <c r="F58" s="674">
        <f t="shared" si="12"/>
        <v>-158.62720670391059</v>
      </c>
      <c r="G58" s="675">
        <f t="shared" si="13"/>
        <v>-252.96720670390988</v>
      </c>
      <c r="H58" s="740">
        <f t="shared" si="14"/>
        <v>-0.51838956439186468</v>
      </c>
      <c r="I58" s="1024">
        <f t="shared" si="15"/>
        <v>-0.6318809179794932</v>
      </c>
      <c r="J58" s="1295"/>
    </row>
    <row r="59" spans="2:25">
      <c r="B59" s="577" t="s">
        <v>111</v>
      </c>
      <c r="C59" s="689">
        <f>+Print_Mois!$L$320</f>
        <v>13628.92</v>
      </c>
      <c r="D59" s="689">
        <f>+Print_Mois!$F$320</f>
        <v>15429.558697318007</v>
      </c>
      <c r="E59" s="689">
        <f>+Print_Mois!$Q$320</f>
        <v>13914.05</v>
      </c>
      <c r="F59" s="684">
        <f t="shared" si="12"/>
        <v>-1800.638697318007</v>
      </c>
      <c r="G59" s="685">
        <f t="shared" si="13"/>
        <v>-285.1299999999992</v>
      </c>
      <c r="H59" s="744">
        <f t="shared" si="14"/>
        <v>-0.1167005960858101</v>
      </c>
      <c r="I59" s="1034">
        <f t="shared" si="15"/>
        <v>-2.0492236264782662E-2</v>
      </c>
      <c r="J59" s="1296"/>
    </row>
    <row r="61" spans="2:25">
      <c r="B61" s="583" t="s">
        <v>343</v>
      </c>
      <c r="C61" s="584" t="s">
        <v>311</v>
      </c>
      <c r="D61" s="584" t="s">
        <v>6</v>
      </c>
      <c r="E61" s="584">
        <f>$E$3</f>
        <v>2023</v>
      </c>
      <c r="F61" s="585" t="s">
        <v>332</v>
      </c>
      <c r="G61" s="586" t="str">
        <f>$G$3</f>
        <v>▲2023</v>
      </c>
      <c r="H61" s="585" t="s">
        <v>333</v>
      </c>
      <c r="I61" s="586" t="str">
        <f>$I$3</f>
        <v>% ▲ 2023</v>
      </c>
      <c r="J61" s="1117" t="s">
        <v>329</v>
      </c>
    </row>
    <row r="62" spans="2:25" ht="29.25" customHeight="1">
      <c r="B62" s="691" t="s">
        <v>344</v>
      </c>
      <c r="C62" s="692">
        <f>+Print_Mois!$AF$433/Print_Mois!$AF$407</f>
        <v>0.7096449675288089</v>
      </c>
      <c r="D62" s="692">
        <f>+Print_Mois!$Z$433/Print_Mois!$Z$407</f>
        <v>0.64287935188910328</v>
      </c>
      <c r="E62" s="692">
        <f>+Print_Mois!$AL$433/Print_Mois!$AL$407</f>
        <v>0.48691472976880013</v>
      </c>
      <c r="F62" s="676">
        <f t="shared" ref="F62:G67" si="16">+IFERROR($C62-D62,"")</f>
        <v>6.6765615639705622E-2</v>
      </c>
      <c r="G62" s="677">
        <f t="shared" si="16"/>
        <v>0.22273023776000878</v>
      </c>
      <c r="H62" s="740">
        <f t="shared" ref="H62:H67" si="17">+IFERROR(F62/ABS($D62),"")</f>
        <v>0.10385403644325272</v>
      </c>
      <c r="I62" s="1024">
        <f t="shared" ref="I62:I67" si="18">+IFERROR(G62/ABS($E62),"")</f>
        <v>0.45743171061135679</v>
      </c>
      <c r="J62" s="1294"/>
    </row>
    <row r="63" spans="2:25">
      <c r="B63" s="720" t="s">
        <v>345</v>
      </c>
      <c r="C63" s="721">
        <v>23.5</v>
      </c>
      <c r="D63" s="721">
        <v>23.5</v>
      </c>
      <c r="E63" s="721">
        <v>23.5</v>
      </c>
      <c r="F63" s="718">
        <f t="shared" si="16"/>
        <v>0</v>
      </c>
      <c r="G63" s="719">
        <f t="shared" si="16"/>
        <v>0</v>
      </c>
      <c r="H63" s="740">
        <f t="shared" si="17"/>
        <v>0</v>
      </c>
      <c r="I63" s="1024">
        <f t="shared" si="18"/>
        <v>0</v>
      </c>
      <c r="J63" s="1295"/>
    </row>
    <row r="64" spans="2:25">
      <c r="B64" s="691" t="s">
        <v>331</v>
      </c>
      <c r="C64" s="673">
        <f>+Print_Mois!$AF$414+Print_Mois!$AF$434</f>
        <v>12646.24</v>
      </c>
      <c r="D64" s="673">
        <f>+Print_Mois!$Z$414+Print_Mois!$Z$434</f>
        <v>26740.313172930961</v>
      </c>
      <c r="E64" s="673">
        <f>+Print_Mois!$AL$414+Print_Mois!$AL$434</f>
        <v>37676.67</v>
      </c>
      <c r="F64" s="674">
        <f t="shared" si="16"/>
        <v>-14094.073172930961</v>
      </c>
      <c r="G64" s="675">
        <f t="shared" si="16"/>
        <v>-25030.43</v>
      </c>
      <c r="H64" s="740">
        <f t="shared" si="17"/>
        <v>-0.5270721057671941</v>
      </c>
      <c r="I64" s="1024">
        <f t="shared" si="18"/>
        <v>-0.66434825583046486</v>
      </c>
      <c r="J64" s="1295"/>
    </row>
    <row r="65" spans="2:25">
      <c r="B65" s="691" t="s">
        <v>347</v>
      </c>
      <c r="C65" s="673">
        <f>+Print_Mois!$AF$452-Print_Mois!$AF$434</f>
        <v>50995.510000000009</v>
      </c>
      <c r="D65" s="673">
        <f>+Print_Mois!$Z$452-Print_Mois!$Z$434</f>
        <v>60407.113190792355</v>
      </c>
      <c r="E65" s="673">
        <f>+Print_Mois!$AL$452-Print_Mois!$AL$434</f>
        <v>75899.869999999981</v>
      </c>
      <c r="F65" s="674">
        <f t="shared" si="16"/>
        <v>-9411.6031907923461</v>
      </c>
      <c r="G65" s="675">
        <f t="shared" si="16"/>
        <v>-24904.359999999971</v>
      </c>
      <c r="H65" s="740">
        <f t="shared" si="17"/>
        <v>-0.15580289627591282</v>
      </c>
      <c r="I65" s="1024">
        <f t="shared" si="18"/>
        <v>-0.32812124711149016</v>
      </c>
      <c r="J65" s="1295"/>
    </row>
    <row r="66" spans="2:25">
      <c r="B66" s="691" t="s">
        <v>346</v>
      </c>
      <c r="C66" s="673">
        <f>+Print_Mois!$AF$415</f>
        <v>24549.19</v>
      </c>
      <c r="D66" s="673">
        <f>+Print_Mois!$Z$415</f>
        <v>27678.319986031558</v>
      </c>
      <c r="E66" s="673">
        <f>+Print_Mois!$AL$415</f>
        <v>31476.63</v>
      </c>
      <c r="F66" s="674">
        <f t="shared" si="16"/>
        <v>-3129.1299860315594</v>
      </c>
      <c r="G66" s="675">
        <f t="shared" si="16"/>
        <v>-6927.4400000000023</v>
      </c>
      <c r="H66" s="740">
        <f t="shared" si="17"/>
        <v>-0.11305346522515601</v>
      </c>
      <c r="I66" s="1024">
        <f t="shared" si="18"/>
        <v>-0.22008201004999589</v>
      </c>
      <c r="J66" s="1295"/>
    </row>
    <row r="67" spans="2:25">
      <c r="B67" s="693" t="s">
        <v>349</v>
      </c>
      <c r="C67" s="689">
        <f>+Print_Mois!$AF$481-C32-C15</f>
        <v>10164.149999999994</v>
      </c>
      <c r="D67" s="689">
        <f>+Print_Mois!$Z$481-D32-D15</f>
        <v>16171.817301818184</v>
      </c>
      <c r="E67" s="689">
        <f>+Print_Mois!$AL$481-E32-E15</f>
        <v>13475.800000000003</v>
      </c>
      <c r="F67" s="684">
        <f t="shared" si="16"/>
        <v>-6007.66730181819</v>
      </c>
      <c r="G67" s="685">
        <f t="shared" si="16"/>
        <v>-3311.6500000000087</v>
      </c>
      <c r="H67" s="686">
        <f t="shared" si="17"/>
        <v>-0.37148993150836257</v>
      </c>
      <c r="I67" s="1028">
        <f t="shared" si="18"/>
        <v>-0.24574793333234449</v>
      </c>
      <c r="J67" s="1296"/>
    </row>
    <row r="69" spans="2:25">
      <c r="B69" s="694" t="s">
        <v>1934</v>
      </c>
      <c r="C69" s="695" t="s">
        <v>311</v>
      </c>
      <c r="D69" s="695" t="s">
        <v>6</v>
      </c>
      <c r="E69" s="695">
        <f>$E$3</f>
        <v>2023</v>
      </c>
      <c r="F69" s="696" t="s">
        <v>332</v>
      </c>
      <c r="G69" s="697" t="str">
        <f>$G$3</f>
        <v>▲2023</v>
      </c>
      <c r="H69" s="696" t="s">
        <v>333</v>
      </c>
      <c r="I69" s="697" t="str">
        <f>$I$3</f>
        <v>% ▲ 2023</v>
      </c>
      <c r="J69" s="1036" t="s">
        <v>329</v>
      </c>
    </row>
    <row r="70" spans="2:25" ht="15" customHeight="1">
      <c r="B70" s="698" t="s">
        <v>1935</v>
      </c>
      <c r="C70" s="699">
        <f>+Print_Mois!$AF$419-Print_Mois!$AF$415+Print_Mois!$AF$434+Print_Mois!$AF$435+Print_Mois!$AF$436</f>
        <v>49641.93</v>
      </c>
      <c r="D70" s="699">
        <f>+Print_Mois!$Z$419-Print_Mois!$Z$415+Print_Mois!$Z$434+Print_Mois!$Z$435+Print_Mois!$Z$436</f>
        <v>94615.552957878448</v>
      </c>
      <c r="E70" s="699">
        <f>+Print_Mois!$AL$419-Print_Mois!$AL$415+Print_Mois!$AL$434+Print_Mois!$AL$435+Print_Mois!$AL$436</f>
        <v>143268.39000000001</v>
      </c>
      <c r="F70" s="700">
        <f t="shared" ref="F70:G77" si="19">+IFERROR($C70-D70,"")</f>
        <v>-44973.622957878448</v>
      </c>
      <c r="G70" s="701">
        <f t="shared" si="19"/>
        <v>-93626.460000000021</v>
      </c>
      <c r="H70" s="676">
        <f t="shared" ref="H70:H77" si="20">+IFERROR(F70/ABS($D70),"")</f>
        <v>-0.47533012863012164</v>
      </c>
      <c r="I70" s="1027">
        <f t="shared" ref="I70:I77" si="21">+IFERROR(G70/ABS($E70),"")</f>
        <v>-0.65350395854940513</v>
      </c>
      <c r="J70" s="1294"/>
    </row>
    <row r="71" spans="2:25">
      <c r="B71" s="698" t="s">
        <v>1936</v>
      </c>
      <c r="C71" s="692">
        <f>+C70/Print_Mois!$AF$407</f>
        <v>0.24110514923070819</v>
      </c>
      <c r="D71" s="692">
        <f>+D70/Print_Mois!$Z$407</f>
        <v>0.33821153747196819</v>
      </c>
      <c r="E71" s="692">
        <f>+E70/Print_Mois!$AL$407</f>
        <v>0.37495649296401068</v>
      </c>
      <c r="F71" s="676">
        <f t="shared" si="19"/>
        <v>-9.710638824126E-2</v>
      </c>
      <c r="G71" s="677">
        <f t="shared" si="19"/>
        <v>-0.13385134373330249</v>
      </c>
      <c r="H71" s="676">
        <f t="shared" si="20"/>
        <v>-0.28711731411382857</v>
      </c>
      <c r="I71" s="1027">
        <f t="shared" si="21"/>
        <v>-0.35697833280660085</v>
      </c>
      <c r="J71" s="1295"/>
    </row>
    <row r="72" spans="2:25">
      <c r="B72" s="698" t="s">
        <v>1937</v>
      </c>
      <c r="C72" s="673">
        <f>+Print_Mois!$AF$466+Print_Mois!$AF$433+Print_Mois!$AF$437+Print_Mois!$AF$439+SUM(Print_Mois!$AF$440:$AF$448)+Print_Mois!$AF$438</f>
        <v>244247.62999999998</v>
      </c>
      <c r="D72" s="673">
        <f>+Print_Mois!$Z$466+Print_Mois!$Z$433+Print_Mois!$Z$437+Print_Mois!$Z$439+SUM(Print_Mois!$Z$440:$Z$448)+Print_Mois!$Z$438</f>
        <v>297426.0957649888</v>
      </c>
      <c r="E72" s="673">
        <f>+Print_Mois!$AL$466+Print_Mois!$AL$433+Print_Mois!$AL$437+Print_Mois!$AL$439+SUM(Print_Mois!$AL$440:$AL$448)+Print_Mois!$AL$438</f>
        <v>304739.16000000003</v>
      </c>
      <c r="F72" s="702">
        <f t="shared" si="19"/>
        <v>-53178.465764988825</v>
      </c>
      <c r="G72" s="703">
        <f t="shared" si="19"/>
        <v>-60491.530000000057</v>
      </c>
      <c r="H72" s="676">
        <f>+IFERROR(F72/ABS($D72),"")</f>
        <v>-0.1787955613921913</v>
      </c>
      <c r="I72" s="1027">
        <f t="shared" si="21"/>
        <v>-0.19850264731319747</v>
      </c>
      <c r="J72" s="1295"/>
    </row>
    <row r="73" spans="2:25">
      <c r="B73" s="698" t="s">
        <v>1938</v>
      </c>
      <c r="C73" s="692">
        <f>+C72/Print_Mois!$AF$407</f>
        <v>1.1862826703231883</v>
      </c>
      <c r="D73" s="692">
        <f>+D72/Print_Mois!$Z$407</f>
        <v>1.0631754926987989</v>
      </c>
      <c r="E73" s="692">
        <f>+E72/Print_Mois!$AL$407</f>
        <v>0.79755155133940236</v>
      </c>
      <c r="F73" s="676">
        <f t="shared" si="19"/>
        <v>0.1231071776243895</v>
      </c>
      <c r="G73" s="677">
        <f t="shared" si="19"/>
        <v>0.38873111898378598</v>
      </c>
      <c r="H73" s="676">
        <f t="shared" si="20"/>
        <v>0.11579196329280529</v>
      </c>
      <c r="I73" s="1027">
        <f t="shared" si="21"/>
        <v>0.48740563331731185</v>
      </c>
      <c r="J73" s="1295"/>
    </row>
    <row r="74" spans="2:25" s="707" customFormat="1">
      <c r="B74" s="582" t="s">
        <v>1932</v>
      </c>
      <c r="C74" s="574">
        <f>+Print_Mois!$AF$483+Print_Mois!$AF$415</f>
        <v>-17376.12999999995</v>
      </c>
      <c r="D74" s="574">
        <f>+Print_Mois!$Z$483+Print_Mois!$Z$415</f>
        <v>-18309.029807677383</v>
      </c>
      <c r="E74" s="574">
        <f>+Print_Mois!$AL$483+Print_Mois!$AL$415</f>
        <v>43516.619999999719</v>
      </c>
      <c r="F74" s="575">
        <f t="shared" si="19"/>
        <v>932.89980767743327</v>
      </c>
      <c r="G74" s="576">
        <f t="shared" si="19"/>
        <v>-60892.749999999665</v>
      </c>
      <c r="H74" s="766">
        <f t="shared" si="20"/>
        <v>5.0952989725662451E-2</v>
      </c>
      <c r="I74" s="1032">
        <f t="shared" si="21"/>
        <v>-1.3992987047247709</v>
      </c>
      <c r="J74" s="1295"/>
      <c r="N74" s="1128"/>
      <c r="O74" s="1128"/>
      <c r="P74" s="1128"/>
      <c r="Q74" s="1128"/>
      <c r="R74" s="1128"/>
      <c r="S74" s="1128"/>
      <c r="T74" s="1128"/>
      <c r="U74" s="1128"/>
      <c r="V74" s="1128"/>
      <c r="W74" s="1128"/>
      <c r="X74" s="1128"/>
      <c r="Y74" s="1128"/>
    </row>
    <row r="75" spans="2:25">
      <c r="B75" s="554" t="s">
        <v>1939</v>
      </c>
      <c r="C75" s="704">
        <f>+C74/Print_Mois!$AF$406</f>
        <v>-8.8209511739790244E-3</v>
      </c>
      <c r="D75" s="704">
        <f>+D74/Print_Mois!$Z$406</f>
        <v>-6.3449396332091084E-3</v>
      </c>
      <c r="E75" s="704">
        <f>+E74/Print_Mois!$AL$406</f>
        <v>1.0218629987301503E-2</v>
      </c>
      <c r="F75" s="714">
        <f t="shared" si="19"/>
        <v>-2.476011540769916E-3</v>
      </c>
      <c r="G75" s="715">
        <f t="shared" si="19"/>
        <v>-1.9039581161280527E-2</v>
      </c>
      <c r="H75" s="740">
        <f t="shared" si="20"/>
        <v>-0.39023405799018024</v>
      </c>
      <c r="I75" s="1024">
        <f t="shared" si="21"/>
        <v>-1.8632224852979953</v>
      </c>
      <c r="J75" s="1295"/>
    </row>
    <row r="76" spans="2:25" s="707" customFormat="1">
      <c r="B76" s="582" t="s">
        <v>1933</v>
      </c>
      <c r="C76" s="574">
        <f>+Print_Mois!$AF$498</f>
        <v>-42645.099999999948</v>
      </c>
      <c r="D76" s="574">
        <f>+Print_Mois!$Z$498</f>
        <v>-62654.890777315501</v>
      </c>
      <c r="E76" s="574">
        <f>+Print_Mois!$AL$498</f>
        <v>13333.329999999714</v>
      </c>
      <c r="F76" s="575">
        <f t="shared" si="19"/>
        <v>20009.790777315553</v>
      </c>
      <c r="G76" s="576">
        <f t="shared" si="19"/>
        <v>-55978.429999999658</v>
      </c>
      <c r="H76" s="766">
        <f t="shared" si="20"/>
        <v>0.31936518488928867</v>
      </c>
      <c r="I76" s="1032">
        <f t="shared" si="21"/>
        <v>-4.1983832995958892</v>
      </c>
      <c r="J76" s="1295"/>
      <c r="N76" s="1128"/>
      <c r="O76" s="1128"/>
      <c r="P76" s="1128"/>
      <c r="Q76" s="1128"/>
      <c r="R76" s="1128"/>
      <c r="S76" s="1128"/>
      <c r="T76" s="1128"/>
      <c r="U76" s="1128"/>
      <c r="V76" s="1128"/>
      <c r="W76" s="1128"/>
      <c r="X76" s="1128"/>
      <c r="Y76" s="1128"/>
    </row>
    <row r="77" spans="2:25">
      <c r="B77" s="705" t="s">
        <v>1940</v>
      </c>
      <c r="C77" s="706">
        <f>+C76/Print_Mois!$AF$406</f>
        <v>-2.1648683850169947E-2</v>
      </c>
      <c r="D77" s="706">
        <f>+D76/Print_Mois!$Z$406</f>
        <v>-2.1712865393920491E-2</v>
      </c>
      <c r="E77" s="706">
        <f>+E76/Print_Mois!$AL$406</f>
        <v>3.130950100641656E-3</v>
      </c>
      <c r="F77" s="716">
        <f t="shared" si="19"/>
        <v>6.4181543750544551E-5</v>
      </c>
      <c r="G77" s="717">
        <f t="shared" si="19"/>
        <v>-2.4779633950811602E-2</v>
      </c>
      <c r="H77" s="744">
        <f t="shared" si="20"/>
        <v>2.9559223338857482E-3</v>
      </c>
      <c r="I77" s="1034">
        <f t="shared" si="21"/>
        <v>-7.9144135659438559</v>
      </c>
      <c r="J77" s="1296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 codeName="Feuil13">
    <tabColor theme="1"/>
    <pageSetUpPr fitToPage="1"/>
  </sheetPr>
  <dimension ref="A1:X48"/>
  <sheetViews>
    <sheetView topLeftCell="C1" zoomScale="80" zoomScaleNormal="80" workbookViewId="0">
      <selection activeCell="M16" sqref="M16"/>
    </sheetView>
  </sheetViews>
  <sheetFormatPr baseColWidth="10" defaultColWidth="11" defaultRowHeight="15"/>
  <cols>
    <col min="1" max="2" width="21.5" style="969" customWidth="1"/>
    <col min="3" max="3" width="27" style="969" customWidth="1"/>
    <col min="4" max="4" width="22.75" style="972" customWidth="1"/>
    <col min="5" max="19" width="13.625" style="972" customWidth="1"/>
    <col min="20" max="20" width="75.875" style="1000" customWidth="1"/>
    <col min="21" max="16384" width="11" style="969"/>
  </cols>
  <sheetData>
    <row r="1" spans="1:24" ht="31.5">
      <c r="A1" s="968" t="s">
        <v>2309</v>
      </c>
      <c r="B1" s="968"/>
      <c r="D1" s="968"/>
      <c r="E1" s="968"/>
      <c r="F1" s="968"/>
      <c r="G1" s="968"/>
      <c r="H1" s="968"/>
      <c r="I1" s="968"/>
      <c r="J1" s="968"/>
      <c r="K1" s="968"/>
      <c r="L1" s="968"/>
      <c r="M1" s="968"/>
      <c r="N1" s="968"/>
      <c r="O1" s="968"/>
      <c r="P1" s="968"/>
      <c r="Q1" s="968"/>
      <c r="R1" s="968"/>
      <c r="S1" s="968"/>
      <c r="T1" s="968"/>
    </row>
    <row r="2" spans="1:24" ht="21">
      <c r="A2" s="970" t="s">
        <v>2933</v>
      </c>
      <c r="B2" s="970"/>
      <c r="D2" s="970"/>
      <c r="E2" s="970"/>
      <c r="F2" s="970"/>
      <c r="G2" s="970"/>
      <c r="H2" s="971">
        <v>1</v>
      </c>
      <c r="I2" s="971">
        <v>2</v>
      </c>
      <c r="J2" s="971">
        <v>3</v>
      </c>
      <c r="K2" s="971">
        <v>4</v>
      </c>
      <c r="L2" s="971">
        <v>5</v>
      </c>
      <c r="M2" s="971">
        <v>6</v>
      </c>
      <c r="N2" s="971">
        <v>7</v>
      </c>
      <c r="O2" s="971">
        <v>8</v>
      </c>
      <c r="P2" s="971">
        <v>9</v>
      </c>
      <c r="Q2" s="971">
        <v>10</v>
      </c>
      <c r="R2" s="971">
        <v>11</v>
      </c>
      <c r="S2" s="971">
        <v>12</v>
      </c>
      <c r="T2" s="970"/>
    </row>
    <row r="3" spans="1:24" ht="15.75" thickBot="1">
      <c r="H3" s="973" t="str">
        <f>+IF(VLOOKUP(H2,Parametres!$L$3:$N$14,3,0)="X","REEL","FORECAST")</f>
        <v>REEL</v>
      </c>
      <c r="I3" s="973" t="str">
        <f>+IF(VLOOKUP(I2,Parametres!$L$3:$N$14,3,0)="X","REEL","FORECAST")</f>
        <v>REEL</v>
      </c>
      <c r="J3" s="973" t="str">
        <f>+IF(VLOOKUP(J2,Parametres!$L$3:$N$14,3,0)="X","REEL","FORECAST")</f>
        <v>REEL</v>
      </c>
      <c r="K3" s="973" t="str">
        <f>+IF(VLOOKUP(K2,Parametres!$L$3:$N$14,3,0)="X","REEL","FORECAST")</f>
        <v>REEL</v>
      </c>
      <c r="L3" s="973" t="str">
        <f>+IF(VLOOKUP(L2,Parametres!$L$3:$N$14,3,0)="X","REEL","FORECAST")</f>
        <v>REEL</v>
      </c>
      <c r="M3" s="973" t="str">
        <f>+IF(VLOOKUP(M2,Parametres!$L$3:$N$14,3,0)="X","REEL","FORECAST")</f>
        <v>REEL</v>
      </c>
      <c r="N3" s="973" t="str">
        <f>+IF(VLOOKUP(N2,Parametres!$L$3:$N$14,3,0)="X","REEL","FORECAST")</f>
        <v>REEL</v>
      </c>
      <c r="O3" s="973" t="str">
        <f>+IF(VLOOKUP(O2,Parametres!$L$3:$N$14,3,0)="X","REEL","FORECAST")</f>
        <v>REEL</v>
      </c>
      <c r="P3" s="973" t="str">
        <f>+IF(VLOOKUP(P2,Parametres!$L$3:$N$14,3,0)="X","REEL","FORECAST")</f>
        <v>REEL</v>
      </c>
      <c r="Q3" s="973" t="str">
        <f>+IF(VLOOKUP(Q2,Parametres!$L$3:$N$14,3,0)="X","REEL","FORECAST")</f>
        <v>REEL</v>
      </c>
      <c r="R3" s="973" t="str">
        <f>+IF(VLOOKUP(R2,Parametres!$L$3:$N$14,3,0)="X","REEL","FORECAST")</f>
        <v>REEL</v>
      </c>
      <c r="S3" s="973" t="str">
        <f>+IF(VLOOKUP(S2,Parametres!$L$3:$N$14,3,0)="X","REEL","FORECAST")</f>
        <v>REEL</v>
      </c>
      <c r="T3" s="969"/>
    </row>
    <row r="4" spans="1:24" s="978" customFormat="1" ht="30" customHeight="1" thickBot="1">
      <c r="A4" s="1298" t="s">
        <v>2310</v>
      </c>
      <c r="B4" s="1298" t="s">
        <v>2311</v>
      </c>
      <c r="C4" s="974" t="s">
        <v>2312</v>
      </c>
      <c r="D4" s="975" t="s">
        <v>2313</v>
      </c>
      <c r="E4" s="976" t="s">
        <v>2314</v>
      </c>
      <c r="F4" s="974" t="s">
        <v>2315</v>
      </c>
      <c r="G4" s="974" t="s">
        <v>2316</v>
      </c>
      <c r="H4" s="976" t="s">
        <v>2317</v>
      </c>
      <c r="I4" s="974" t="s">
        <v>2318</v>
      </c>
      <c r="J4" s="974" t="s">
        <v>2319</v>
      </c>
      <c r="K4" s="974" t="s">
        <v>2320</v>
      </c>
      <c r="L4" s="974" t="s">
        <v>2321</v>
      </c>
      <c r="M4" s="974" t="s">
        <v>2322</v>
      </c>
      <c r="N4" s="974" t="s">
        <v>2323</v>
      </c>
      <c r="O4" s="974" t="s">
        <v>2324</v>
      </c>
      <c r="P4" s="974" t="s">
        <v>2325</v>
      </c>
      <c r="Q4" s="974" t="s">
        <v>2326</v>
      </c>
      <c r="R4" s="974" t="s">
        <v>2327</v>
      </c>
      <c r="S4" s="974" t="s">
        <v>2328</v>
      </c>
      <c r="T4" s="977" t="s">
        <v>2329</v>
      </c>
    </row>
    <row r="5" spans="1:24" ht="30" customHeight="1" thickBot="1">
      <c r="A5" s="1299"/>
      <c r="B5" s="1299"/>
      <c r="C5" s="1300" t="s">
        <v>1994</v>
      </c>
      <c r="D5" s="1301"/>
      <c r="E5" s="979">
        <f t="shared" ref="E5:S5" si="0">+SUM(E6:E40)</f>
        <v>165872.04999999999</v>
      </c>
      <c r="F5" s="980">
        <f t="shared" si="0"/>
        <v>233000</v>
      </c>
      <c r="G5" s="981">
        <f t="shared" si="0"/>
        <v>-67127.95</v>
      </c>
      <c r="H5" s="982">
        <f t="shared" si="0"/>
        <v>120701.21</v>
      </c>
      <c r="I5" s="983">
        <f t="shared" si="0"/>
        <v>4893.17</v>
      </c>
      <c r="J5" s="983">
        <f t="shared" si="0"/>
        <v>3886.16</v>
      </c>
      <c r="K5" s="983">
        <f t="shared" si="0"/>
        <v>558.6</v>
      </c>
      <c r="L5" s="983">
        <f t="shared" si="0"/>
        <v>4839</v>
      </c>
      <c r="M5" s="983">
        <f t="shared" si="0"/>
        <v>2219</v>
      </c>
      <c r="N5" s="983">
        <f t="shared" si="0"/>
        <v>15818.91</v>
      </c>
      <c r="O5" s="983">
        <f t="shared" si="0"/>
        <v>855</v>
      </c>
      <c r="P5" s="983">
        <f t="shared" si="0"/>
        <v>6422</v>
      </c>
      <c r="Q5" s="983">
        <f t="shared" si="0"/>
        <v>4605</v>
      </c>
      <c r="R5" s="983">
        <f t="shared" si="0"/>
        <v>1074</v>
      </c>
      <c r="S5" s="983">
        <f t="shared" si="0"/>
        <v>0</v>
      </c>
      <c r="T5" s="984"/>
      <c r="X5" s="978" t="s">
        <v>49</v>
      </c>
    </row>
    <row r="6" spans="1:24" ht="30" customHeight="1">
      <c r="A6" s="985" t="str">
        <f>+Parametres!$B$1</f>
        <v>BMW Sherbrooke</v>
      </c>
      <c r="B6" s="986" t="s">
        <v>2154</v>
      </c>
      <c r="C6" s="1136" t="s">
        <v>2841</v>
      </c>
      <c r="D6" s="987"/>
      <c r="E6" s="988">
        <f>+SUM(H6:S6)</f>
        <v>9014.01</v>
      </c>
      <c r="F6" s="988">
        <v>10000</v>
      </c>
      <c r="G6" s="988">
        <f>+E6-F6</f>
        <v>-985.98999999999978</v>
      </c>
      <c r="H6" s="989"/>
      <c r="I6" s="988">
        <v>1139.3399999999999</v>
      </c>
      <c r="J6" s="988">
        <v>1457.16</v>
      </c>
      <c r="K6" s="988">
        <v>558.6</v>
      </c>
      <c r="L6" s="988"/>
      <c r="M6" s="988"/>
      <c r="N6" s="988">
        <f>1118+1180.91</f>
        <v>2298.91</v>
      </c>
      <c r="O6" s="988"/>
      <c r="P6" s="988">
        <v>1885</v>
      </c>
      <c r="Q6" s="988">
        <v>601</v>
      </c>
      <c r="R6" s="988">
        <v>1074</v>
      </c>
      <c r="S6" s="988"/>
      <c r="T6" s="1009"/>
      <c r="X6" s="969" t="s">
        <v>51</v>
      </c>
    </row>
    <row r="7" spans="1:24" ht="30" customHeight="1">
      <c r="A7" s="990" t="str">
        <f>+Parametres!$B$1</f>
        <v>BMW Sherbrooke</v>
      </c>
      <c r="B7" s="991" t="s">
        <v>2154</v>
      </c>
      <c r="C7" s="1136" t="s">
        <v>2839</v>
      </c>
      <c r="D7" s="987"/>
      <c r="E7" s="989">
        <f t="shared" ref="E7:E40" si="1">+SUM(H7:S7)</f>
        <v>0</v>
      </c>
      <c r="F7" s="988">
        <v>25000</v>
      </c>
      <c r="G7" s="988">
        <f t="shared" ref="G7:G40" si="2">+E7-F7</f>
        <v>-25000</v>
      </c>
      <c r="H7" s="989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90"/>
      <c r="X7" s="969" t="s">
        <v>53</v>
      </c>
    </row>
    <row r="8" spans="1:24" ht="55.5" customHeight="1">
      <c r="A8" s="990" t="str">
        <f>+Parametres!$B$1</f>
        <v>BMW Sherbrooke</v>
      </c>
      <c r="B8" s="991" t="s">
        <v>2154</v>
      </c>
      <c r="C8" s="1136" t="s">
        <v>2840</v>
      </c>
      <c r="D8" s="987"/>
      <c r="E8" s="989">
        <f>+SUM(H8:S8)</f>
        <v>6358.9</v>
      </c>
      <c r="F8" s="988">
        <v>20000</v>
      </c>
      <c r="G8" s="988">
        <f t="shared" si="2"/>
        <v>-13641.1</v>
      </c>
      <c r="H8" s="989">
        <v>1000</v>
      </c>
      <c r="I8" s="988">
        <v>1672.9</v>
      </c>
      <c r="J8" s="988">
        <v>1286</v>
      </c>
      <c r="K8" s="988"/>
      <c r="L8" s="988"/>
      <c r="M8" s="988"/>
      <c r="N8" s="988"/>
      <c r="O8" s="988"/>
      <c r="P8" s="988"/>
      <c r="Q8" s="988">
        <v>2400</v>
      </c>
      <c r="R8" s="988"/>
      <c r="S8" s="988"/>
      <c r="T8" s="990"/>
      <c r="X8" s="969" t="s">
        <v>55</v>
      </c>
    </row>
    <row r="9" spans="1:24" ht="30" customHeight="1">
      <c r="A9" s="990" t="str">
        <f>+Parametres!$B$1</f>
        <v>BMW Sherbrooke</v>
      </c>
      <c r="B9" s="991" t="s">
        <v>2154</v>
      </c>
      <c r="C9" s="1136" t="s">
        <v>2838</v>
      </c>
      <c r="D9" s="987"/>
      <c r="E9" s="989">
        <f t="shared" si="1"/>
        <v>109701.21</v>
      </c>
      <c r="F9" s="988">
        <v>150000</v>
      </c>
      <c r="G9" s="988">
        <f t="shared" si="2"/>
        <v>-40298.789999999994</v>
      </c>
      <c r="H9" s="989">
        <v>109701.21</v>
      </c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90"/>
      <c r="X9" s="969" t="s">
        <v>57</v>
      </c>
    </row>
    <row r="10" spans="1:24" ht="30" customHeight="1">
      <c r="A10" s="990" t="str">
        <f>+Parametres!$B$1</f>
        <v>BMW Sherbrooke</v>
      </c>
      <c r="B10" s="991" t="s">
        <v>2154</v>
      </c>
      <c r="C10" s="1136" t="s">
        <v>2929</v>
      </c>
      <c r="D10" s="987"/>
      <c r="E10" s="989">
        <f t="shared" si="1"/>
        <v>0</v>
      </c>
      <c r="F10" s="988">
        <v>10000</v>
      </c>
      <c r="G10" s="988">
        <f t="shared" si="2"/>
        <v>-10000</v>
      </c>
      <c r="H10" s="989"/>
      <c r="I10" s="988"/>
      <c r="J10" s="988"/>
      <c r="K10" s="988"/>
      <c r="L10" s="988"/>
      <c r="M10" s="988"/>
      <c r="N10" s="988"/>
      <c r="O10" s="988"/>
      <c r="P10" s="988"/>
      <c r="Q10" s="988"/>
      <c r="R10" s="988"/>
      <c r="S10" s="988"/>
      <c r="T10" s="990"/>
      <c r="X10" s="969" t="s">
        <v>58</v>
      </c>
    </row>
    <row r="11" spans="1:24" ht="30" customHeight="1">
      <c r="A11" s="990" t="str">
        <f>+Parametres!$B$1</f>
        <v>BMW Sherbrooke</v>
      </c>
      <c r="B11" s="991" t="s">
        <v>2154</v>
      </c>
      <c r="C11" s="1137" t="s">
        <v>2930</v>
      </c>
      <c r="D11" s="987"/>
      <c r="E11" s="989">
        <f t="shared" si="1"/>
        <v>10000</v>
      </c>
      <c r="F11" s="988">
        <v>10000</v>
      </c>
      <c r="G11" s="988">
        <f t="shared" si="2"/>
        <v>0</v>
      </c>
      <c r="H11" s="989">
        <v>10000</v>
      </c>
      <c r="I11" s="988"/>
      <c r="J11" s="988"/>
      <c r="K11" s="988"/>
      <c r="L11" s="988"/>
      <c r="M11" s="988"/>
      <c r="N11" s="988"/>
      <c r="O11" s="988"/>
      <c r="P11" s="988"/>
      <c r="Q11" s="988"/>
      <c r="R11" s="988"/>
      <c r="S11" s="988"/>
      <c r="T11" s="990"/>
      <c r="X11" s="969" t="s">
        <v>59</v>
      </c>
    </row>
    <row r="12" spans="1:24" ht="30" customHeight="1">
      <c r="A12" s="990" t="str">
        <f>+Parametres!$B$1</f>
        <v>BMW Sherbrooke</v>
      </c>
      <c r="B12" s="991" t="s">
        <v>2154</v>
      </c>
      <c r="C12" s="1137" t="s">
        <v>2931</v>
      </c>
      <c r="D12" s="987"/>
      <c r="E12" s="989">
        <f t="shared" si="1"/>
        <v>9794.5</v>
      </c>
      <c r="F12" s="988">
        <v>6000</v>
      </c>
      <c r="G12" s="988">
        <f t="shared" si="2"/>
        <v>3794.5</v>
      </c>
      <c r="H12" s="989"/>
      <c r="I12" s="988">
        <v>1353.5</v>
      </c>
      <c r="J12" s="988">
        <v>1143</v>
      </c>
      <c r="K12" s="988"/>
      <c r="L12" s="988">
        <v>4839</v>
      </c>
      <c r="M12" s="988"/>
      <c r="N12" s="988"/>
      <c r="O12" s="988">
        <v>855</v>
      </c>
      <c r="P12" s="988"/>
      <c r="Q12" s="988">
        <v>1604</v>
      </c>
      <c r="R12" s="988"/>
      <c r="S12" s="988"/>
      <c r="T12" s="990"/>
      <c r="X12" s="969" t="s">
        <v>60</v>
      </c>
    </row>
    <row r="13" spans="1:24" ht="30" customHeight="1">
      <c r="A13" s="990" t="str">
        <f>+Parametres!$B$1</f>
        <v>BMW Sherbrooke</v>
      </c>
      <c r="B13" s="991" t="s">
        <v>2154</v>
      </c>
      <c r="C13" s="1138" t="s">
        <v>2932</v>
      </c>
      <c r="D13" s="987"/>
      <c r="E13" s="989">
        <f t="shared" si="1"/>
        <v>0</v>
      </c>
      <c r="F13" s="988">
        <v>2000</v>
      </c>
      <c r="G13" s="988">
        <f t="shared" si="2"/>
        <v>-2000</v>
      </c>
      <c r="H13" s="989"/>
      <c r="I13" s="988"/>
      <c r="J13" s="988"/>
      <c r="K13" s="988"/>
      <c r="L13" s="988"/>
      <c r="M13" s="988"/>
      <c r="N13" s="988"/>
      <c r="O13" s="988"/>
      <c r="P13" s="988"/>
      <c r="Q13" s="988"/>
      <c r="R13" s="988"/>
      <c r="S13" s="988"/>
      <c r="T13" s="990"/>
      <c r="X13" s="969" t="s">
        <v>62</v>
      </c>
    </row>
    <row r="14" spans="1:24" ht="30" customHeight="1">
      <c r="A14" s="990" t="str">
        <f>+Parametres!$B$1</f>
        <v>BMW Sherbrooke</v>
      </c>
      <c r="B14" s="991"/>
      <c r="C14" s="1159" t="s">
        <v>2954</v>
      </c>
      <c r="D14" s="1022"/>
      <c r="E14" s="989">
        <f t="shared" si="1"/>
        <v>727.43</v>
      </c>
      <c r="F14" s="988"/>
      <c r="G14" s="988">
        <f t="shared" si="2"/>
        <v>727.43</v>
      </c>
      <c r="H14" s="989"/>
      <c r="I14" s="988">
        <v>727.43</v>
      </c>
      <c r="J14" s="988"/>
      <c r="K14" s="988"/>
      <c r="L14" s="988"/>
      <c r="M14" s="988"/>
      <c r="N14" s="988"/>
      <c r="O14" s="988"/>
      <c r="P14" s="988"/>
      <c r="Q14" s="988"/>
      <c r="R14" s="988"/>
      <c r="S14" s="988"/>
      <c r="T14" s="990"/>
    </row>
    <row r="15" spans="1:24" ht="30" customHeight="1">
      <c r="A15" s="990" t="str">
        <f>+Parametres!$B$1</f>
        <v>BMW Sherbrooke</v>
      </c>
      <c r="B15" s="991"/>
      <c r="C15" s="1185" t="s">
        <v>2979</v>
      </c>
      <c r="D15" s="987"/>
      <c r="E15" s="989">
        <f t="shared" si="1"/>
        <v>2219</v>
      </c>
      <c r="F15" s="988"/>
      <c r="G15" s="988">
        <f t="shared" si="2"/>
        <v>2219</v>
      </c>
      <c r="H15" s="989"/>
      <c r="I15" s="988"/>
      <c r="J15" s="988"/>
      <c r="K15" s="988"/>
      <c r="L15" s="988"/>
      <c r="M15" s="988">
        <v>2219</v>
      </c>
      <c r="N15" s="988"/>
      <c r="O15" s="988"/>
      <c r="P15" s="988"/>
      <c r="Q15" s="988"/>
      <c r="R15" s="988"/>
      <c r="S15" s="988"/>
      <c r="T15" s="990"/>
    </row>
    <row r="16" spans="1:24" ht="30" customHeight="1">
      <c r="A16" s="990" t="str">
        <f>+Parametres!$B$1</f>
        <v>BMW Sherbrooke</v>
      </c>
      <c r="B16" s="991"/>
      <c r="C16" s="1219" t="s">
        <v>2993</v>
      </c>
      <c r="D16" s="987"/>
      <c r="E16" s="989">
        <f t="shared" si="1"/>
        <v>10220</v>
      </c>
      <c r="F16" s="988"/>
      <c r="G16" s="988">
        <f t="shared" si="2"/>
        <v>10220</v>
      </c>
      <c r="H16" s="989"/>
      <c r="I16" s="988"/>
      <c r="J16" s="988"/>
      <c r="K16" s="988"/>
      <c r="L16" s="988"/>
      <c r="M16" s="988"/>
      <c r="N16" s="988">
        <v>10220</v>
      </c>
      <c r="O16" s="988"/>
      <c r="P16" s="988"/>
      <c r="Q16" s="988"/>
      <c r="R16" s="988"/>
      <c r="S16" s="988"/>
      <c r="T16" s="990"/>
    </row>
    <row r="17" spans="1:20" ht="30" customHeight="1">
      <c r="A17" s="990" t="str">
        <f>+Parametres!$B$1</f>
        <v>BMW Sherbrooke</v>
      </c>
      <c r="B17" s="991"/>
      <c r="C17" s="1219" t="s">
        <v>2994</v>
      </c>
      <c r="D17" s="987"/>
      <c r="E17" s="989">
        <f t="shared" si="1"/>
        <v>3300</v>
      </c>
      <c r="F17" s="988"/>
      <c r="G17" s="988">
        <f t="shared" si="2"/>
        <v>3300</v>
      </c>
      <c r="H17" s="989"/>
      <c r="I17" s="988"/>
      <c r="J17" s="988"/>
      <c r="K17" s="988"/>
      <c r="L17" s="988"/>
      <c r="M17" s="988"/>
      <c r="N17" s="988">
        <v>3300</v>
      </c>
      <c r="O17" s="988"/>
      <c r="P17" s="988"/>
      <c r="Q17" s="988"/>
      <c r="R17" s="988"/>
      <c r="S17" s="988"/>
      <c r="T17" s="990"/>
    </row>
    <row r="18" spans="1:20" ht="30" customHeight="1">
      <c r="A18" s="990" t="str">
        <f>+Parametres!$B$1</f>
        <v>BMW Sherbrooke</v>
      </c>
      <c r="B18" s="991"/>
      <c r="C18" s="1219" t="s">
        <v>2998</v>
      </c>
      <c r="D18" s="987"/>
      <c r="E18" s="989">
        <f t="shared" si="1"/>
        <v>4537</v>
      </c>
      <c r="F18" s="988"/>
      <c r="G18" s="988">
        <f t="shared" si="2"/>
        <v>4537</v>
      </c>
      <c r="H18" s="989"/>
      <c r="I18" s="988"/>
      <c r="J18" s="988"/>
      <c r="K18" s="988"/>
      <c r="L18" s="988"/>
      <c r="M18" s="988"/>
      <c r="N18" s="988"/>
      <c r="O18" s="988"/>
      <c r="P18" s="988">
        <v>4537</v>
      </c>
      <c r="Q18" s="988"/>
      <c r="R18" s="988"/>
      <c r="S18" s="988"/>
      <c r="T18" s="990"/>
    </row>
    <row r="19" spans="1:20" ht="30" customHeight="1">
      <c r="A19" s="990" t="str">
        <f>+Parametres!$B$1</f>
        <v>BMW Sherbrooke</v>
      </c>
      <c r="B19" s="991"/>
      <c r="C19" s="992"/>
      <c r="D19" s="987"/>
      <c r="E19" s="989">
        <f t="shared" si="1"/>
        <v>0</v>
      </c>
      <c r="F19" s="988"/>
      <c r="G19" s="988">
        <f t="shared" si="2"/>
        <v>0</v>
      </c>
      <c r="H19" s="989"/>
      <c r="I19" s="988"/>
      <c r="J19" s="988"/>
      <c r="K19" s="988"/>
      <c r="L19" s="988"/>
      <c r="M19" s="988"/>
      <c r="N19" s="988"/>
      <c r="O19" s="988"/>
      <c r="P19" s="988"/>
      <c r="Q19" s="988"/>
      <c r="R19" s="988"/>
      <c r="S19" s="988"/>
      <c r="T19" s="990"/>
    </row>
    <row r="20" spans="1:20" ht="30" customHeight="1">
      <c r="A20" s="990" t="str">
        <f>+Parametres!$B$1</f>
        <v>BMW Sherbrooke</v>
      </c>
      <c r="B20" s="991"/>
      <c r="C20" s="992"/>
      <c r="D20" s="987"/>
      <c r="E20" s="989">
        <f t="shared" si="1"/>
        <v>0</v>
      </c>
      <c r="F20" s="988"/>
      <c r="G20" s="988">
        <f t="shared" si="2"/>
        <v>0</v>
      </c>
      <c r="H20" s="989"/>
      <c r="I20" s="988"/>
      <c r="J20" s="988"/>
      <c r="K20" s="988"/>
      <c r="L20" s="988"/>
      <c r="M20" s="988"/>
      <c r="N20" s="988"/>
      <c r="O20" s="988"/>
      <c r="P20" s="988"/>
      <c r="Q20" s="988"/>
      <c r="R20" s="988"/>
      <c r="S20" s="988"/>
      <c r="T20" s="990"/>
    </row>
    <row r="21" spans="1:20" ht="30" customHeight="1">
      <c r="A21" s="990" t="str">
        <f>+Parametres!$B$1</f>
        <v>BMW Sherbrooke</v>
      </c>
      <c r="B21" s="991"/>
      <c r="C21" s="992"/>
      <c r="D21" s="987"/>
      <c r="E21" s="989">
        <f t="shared" si="1"/>
        <v>0</v>
      </c>
      <c r="F21" s="988"/>
      <c r="G21" s="988">
        <f t="shared" si="2"/>
        <v>0</v>
      </c>
      <c r="H21" s="989"/>
      <c r="I21" s="988"/>
      <c r="J21" s="988"/>
      <c r="K21" s="988"/>
      <c r="L21" s="988"/>
      <c r="M21" s="988"/>
      <c r="N21" s="988"/>
      <c r="O21" s="988"/>
      <c r="P21" s="988"/>
      <c r="Q21" s="988"/>
      <c r="R21" s="988"/>
      <c r="S21" s="988"/>
      <c r="T21" s="990"/>
    </row>
    <row r="22" spans="1:20" ht="30" customHeight="1">
      <c r="A22" s="990" t="str">
        <f>+Parametres!$B$1</f>
        <v>BMW Sherbrooke</v>
      </c>
      <c r="B22" s="991"/>
      <c r="C22" s="992"/>
      <c r="D22" s="987"/>
      <c r="E22" s="989">
        <f t="shared" si="1"/>
        <v>0</v>
      </c>
      <c r="F22" s="988"/>
      <c r="G22" s="988">
        <f t="shared" si="2"/>
        <v>0</v>
      </c>
      <c r="H22" s="989"/>
      <c r="I22" s="988"/>
      <c r="J22" s="988"/>
      <c r="K22" s="988"/>
      <c r="L22" s="988"/>
      <c r="M22" s="988"/>
      <c r="N22" s="988"/>
      <c r="O22" s="988"/>
      <c r="P22" s="988"/>
      <c r="Q22" s="988"/>
      <c r="R22" s="988"/>
      <c r="S22" s="988"/>
      <c r="T22" s="990"/>
    </row>
    <row r="23" spans="1:20" ht="30" customHeight="1">
      <c r="A23" s="990" t="str">
        <f>+Parametres!$B$1</f>
        <v>BMW Sherbrooke</v>
      </c>
      <c r="B23" s="991"/>
      <c r="C23" s="992"/>
      <c r="D23" s="987"/>
      <c r="E23" s="989">
        <f t="shared" si="1"/>
        <v>0</v>
      </c>
      <c r="F23" s="988"/>
      <c r="G23" s="988">
        <f t="shared" si="2"/>
        <v>0</v>
      </c>
      <c r="H23" s="989"/>
      <c r="I23" s="988"/>
      <c r="J23" s="988"/>
      <c r="K23" s="988"/>
      <c r="L23" s="988"/>
      <c r="M23" s="988"/>
      <c r="N23" s="988"/>
      <c r="O23" s="988"/>
      <c r="P23" s="988"/>
      <c r="Q23" s="988"/>
      <c r="R23" s="988"/>
      <c r="S23" s="988"/>
      <c r="T23" s="990"/>
    </row>
    <row r="24" spans="1:20" ht="30" customHeight="1">
      <c r="A24" s="990" t="str">
        <f>+Parametres!$B$1</f>
        <v>BMW Sherbrooke</v>
      </c>
      <c r="B24" s="991"/>
      <c r="C24" s="992"/>
      <c r="D24" s="987"/>
      <c r="E24" s="989">
        <f t="shared" si="1"/>
        <v>0</v>
      </c>
      <c r="F24" s="988"/>
      <c r="G24" s="988">
        <f t="shared" si="2"/>
        <v>0</v>
      </c>
      <c r="H24" s="989"/>
      <c r="I24" s="988"/>
      <c r="J24" s="988"/>
      <c r="K24" s="988"/>
      <c r="L24" s="988"/>
      <c r="M24" s="988"/>
      <c r="N24" s="988"/>
      <c r="O24" s="988"/>
      <c r="P24" s="988"/>
      <c r="Q24" s="988"/>
      <c r="R24" s="988"/>
      <c r="S24" s="988"/>
      <c r="T24" s="990"/>
    </row>
    <row r="25" spans="1:20" ht="30" customHeight="1">
      <c r="A25" s="990" t="str">
        <f>+Parametres!$B$1</f>
        <v>BMW Sherbrooke</v>
      </c>
      <c r="B25" s="991"/>
      <c r="C25" s="992"/>
      <c r="D25" s="987"/>
      <c r="E25" s="989">
        <f t="shared" si="1"/>
        <v>0</v>
      </c>
      <c r="F25" s="988"/>
      <c r="G25" s="988">
        <f t="shared" si="2"/>
        <v>0</v>
      </c>
      <c r="H25" s="989"/>
      <c r="I25" s="988"/>
      <c r="J25" s="988"/>
      <c r="K25" s="988"/>
      <c r="L25" s="988"/>
      <c r="M25" s="988"/>
      <c r="N25" s="988"/>
      <c r="O25" s="988"/>
      <c r="P25" s="988"/>
      <c r="Q25" s="988"/>
      <c r="R25" s="988"/>
      <c r="S25" s="988"/>
      <c r="T25" s="990"/>
    </row>
    <row r="26" spans="1:20" ht="30" customHeight="1">
      <c r="A26" s="990" t="str">
        <f>+Parametres!$B$1</f>
        <v>BMW Sherbrooke</v>
      </c>
      <c r="B26" s="991"/>
      <c r="C26" s="992"/>
      <c r="D26" s="987"/>
      <c r="E26" s="989">
        <f t="shared" si="1"/>
        <v>0</v>
      </c>
      <c r="F26" s="988"/>
      <c r="G26" s="988">
        <f t="shared" si="2"/>
        <v>0</v>
      </c>
      <c r="H26" s="989"/>
      <c r="I26" s="988"/>
      <c r="J26" s="988"/>
      <c r="K26" s="988"/>
      <c r="L26" s="988"/>
      <c r="M26" s="988"/>
      <c r="N26" s="988"/>
      <c r="O26" s="988"/>
      <c r="P26" s="988"/>
      <c r="Q26" s="988"/>
      <c r="R26" s="988"/>
      <c r="S26" s="988"/>
      <c r="T26" s="990"/>
    </row>
    <row r="27" spans="1:20" ht="30" customHeight="1">
      <c r="A27" s="990" t="str">
        <f>+Parametres!$B$1</f>
        <v>BMW Sherbrooke</v>
      </c>
      <c r="B27" s="991"/>
      <c r="C27" s="992"/>
      <c r="D27" s="987"/>
      <c r="E27" s="989">
        <f t="shared" si="1"/>
        <v>0</v>
      </c>
      <c r="F27" s="988"/>
      <c r="G27" s="988">
        <f t="shared" si="2"/>
        <v>0</v>
      </c>
      <c r="H27" s="989"/>
      <c r="I27" s="988"/>
      <c r="J27" s="988"/>
      <c r="K27" s="988"/>
      <c r="L27" s="988"/>
      <c r="M27" s="988"/>
      <c r="N27" s="988"/>
      <c r="O27" s="988"/>
      <c r="P27" s="988"/>
      <c r="Q27" s="988"/>
      <c r="R27" s="988"/>
      <c r="S27" s="988"/>
      <c r="T27" s="990"/>
    </row>
    <row r="28" spans="1:20" ht="30" customHeight="1">
      <c r="A28" s="990" t="str">
        <f>+Parametres!$B$1</f>
        <v>BMW Sherbrooke</v>
      </c>
      <c r="B28" s="991"/>
      <c r="C28" s="992"/>
      <c r="D28" s="987"/>
      <c r="E28" s="989">
        <f t="shared" si="1"/>
        <v>0</v>
      </c>
      <c r="F28" s="988"/>
      <c r="G28" s="988">
        <f t="shared" si="2"/>
        <v>0</v>
      </c>
      <c r="H28" s="989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90"/>
    </row>
    <row r="29" spans="1:20" ht="30" customHeight="1">
      <c r="A29" s="990" t="str">
        <f>+Parametres!$B$1</f>
        <v>BMW Sherbrooke</v>
      </c>
      <c r="B29" s="991"/>
      <c r="C29" s="992"/>
      <c r="D29" s="987"/>
      <c r="E29" s="989">
        <f t="shared" si="1"/>
        <v>0</v>
      </c>
      <c r="F29" s="988"/>
      <c r="G29" s="988">
        <f t="shared" si="2"/>
        <v>0</v>
      </c>
      <c r="H29" s="989"/>
      <c r="I29" s="988"/>
      <c r="J29" s="988"/>
      <c r="K29" s="988"/>
      <c r="L29" s="988"/>
      <c r="M29" s="988"/>
      <c r="N29" s="988"/>
      <c r="O29" s="988"/>
      <c r="P29" s="988"/>
      <c r="Q29" s="988"/>
      <c r="R29" s="988"/>
      <c r="S29" s="988"/>
      <c r="T29" s="990"/>
    </row>
    <row r="30" spans="1:20" ht="30" customHeight="1">
      <c r="A30" s="990" t="str">
        <f>+Parametres!$B$1</f>
        <v>BMW Sherbrooke</v>
      </c>
      <c r="B30" s="991"/>
      <c r="C30" s="992"/>
      <c r="D30" s="987"/>
      <c r="E30" s="989">
        <f t="shared" si="1"/>
        <v>0</v>
      </c>
      <c r="F30" s="988"/>
      <c r="G30" s="988">
        <f t="shared" si="2"/>
        <v>0</v>
      </c>
      <c r="H30" s="989"/>
      <c r="I30" s="988"/>
      <c r="J30" s="988"/>
      <c r="K30" s="988"/>
      <c r="L30" s="988"/>
      <c r="M30" s="988"/>
      <c r="N30" s="988"/>
      <c r="O30" s="988"/>
      <c r="P30" s="988"/>
      <c r="Q30" s="988"/>
      <c r="R30" s="988"/>
      <c r="S30" s="988"/>
      <c r="T30" s="990"/>
    </row>
    <row r="31" spans="1:20" ht="30" customHeight="1">
      <c r="A31" s="990" t="str">
        <f>+Parametres!$B$1</f>
        <v>BMW Sherbrooke</v>
      </c>
      <c r="B31" s="991"/>
      <c r="C31" s="992"/>
      <c r="D31" s="987"/>
      <c r="E31" s="989">
        <f t="shared" si="1"/>
        <v>0</v>
      </c>
      <c r="F31" s="988"/>
      <c r="G31" s="988">
        <f t="shared" si="2"/>
        <v>0</v>
      </c>
      <c r="H31" s="989"/>
      <c r="I31" s="988"/>
      <c r="J31" s="988"/>
      <c r="K31" s="988"/>
      <c r="L31" s="988"/>
      <c r="M31" s="988"/>
      <c r="N31" s="988"/>
      <c r="O31" s="988"/>
      <c r="P31" s="988"/>
      <c r="Q31" s="988"/>
      <c r="R31" s="988"/>
      <c r="S31" s="988"/>
      <c r="T31" s="990"/>
    </row>
    <row r="32" spans="1:20" ht="30" customHeight="1">
      <c r="A32" s="990" t="str">
        <f>+Parametres!$B$1</f>
        <v>BMW Sherbrooke</v>
      </c>
      <c r="B32" s="991"/>
      <c r="C32" s="992"/>
      <c r="D32" s="987"/>
      <c r="E32" s="989">
        <f t="shared" si="1"/>
        <v>0</v>
      </c>
      <c r="F32" s="988"/>
      <c r="G32" s="988">
        <f t="shared" si="2"/>
        <v>0</v>
      </c>
      <c r="H32" s="989"/>
      <c r="I32" s="988"/>
      <c r="J32" s="988"/>
      <c r="K32" s="988"/>
      <c r="L32" s="988"/>
      <c r="M32" s="988"/>
      <c r="N32" s="988"/>
      <c r="O32" s="988"/>
      <c r="P32" s="988"/>
      <c r="Q32" s="988"/>
      <c r="R32" s="988"/>
      <c r="S32" s="988"/>
      <c r="T32" s="990"/>
    </row>
    <row r="33" spans="1:24" ht="30" customHeight="1">
      <c r="A33" s="990" t="str">
        <f>+Parametres!$B$1</f>
        <v>BMW Sherbrooke</v>
      </c>
      <c r="B33" s="991"/>
      <c r="C33" s="992"/>
      <c r="D33" s="987"/>
      <c r="E33" s="989">
        <f t="shared" si="1"/>
        <v>0</v>
      </c>
      <c r="F33" s="988"/>
      <c r="G33" s="988">
        <f t="shared" si="2"/>
        <v>0</v>
      </c>
      <c r="H33" s="989"/>
      <c r="I33" s="988"/>
      <c r="J33" s="988"/>
      <c r="K33" s="988"/>
      <c r="L33" s="988"/>
      <c r="M33" s="988"/>
      <c r="N33" s="988"/>
      <c r="O33" s="988"/>
      <c r="P33" s="988"/>
      <c r="Q33" s="988"/>
      <c r="R33" s="988"/>
      <c r="S33" s="988"/>
      <c r="T33" s="990"/>
    </row>
    <row r="34" spans="1:24" ht="30" customHeight="1">
      <c r="A34" s="990" t="str">
        <f>+Parametres!$B$1</f>
        <v>BMW Sherbrooke</v>
      </c>
      <c r="B34" s="991"/>
      <c r="C34" s="992"/>
      <c r="D34" s="987"/>
      <c r="E34" s="989">
        <f t="shared" si="1"/>
        <v>0</v>
      </c>
      <c r="F34" s="988"/>
      <c r="G34" s="988">
        <f t="shared" si="2"/>
        <v>0</v>
      </c>
      <c r="H34" s="989"/>
      <c r="I34" s="988"/>
      <c r="J34" s="988"/>
      <c r="K34" s="988"/>
      <c r="L34" s="988"/>
      <c r="M34" s="988"/>
      <c r="N34" s="988"/>
      <c r="O34" s="988"/>
      <c r="P34" s="988"/>
      <c r="Q34" s="988"/>
      <c r="R34" s="988"/>
      <c r="S34" s="988"/>
      <c r="T34" s="990"/>
    </row>
    <row r="35" spans="1:24" ht="30" customHeight="1">
      <c r="A35" s="990" t="str">
        <f>+Parametres!$B$1</f>
        <v>BMW Sherbrooke</v>
      </c>
      <c r="B35" s="991"/>
      <c r="C35" s="992"/>
      <c r="D35" s="987"/>
      <c r="E35" s="989">
        <f t="shared" si="1"/>
        <v>0</v>
      </c>
      <c r="F35" s="988"/>
      <c r="G35" s="988">
        <f t="shared" si="2"/>
        <v>0</v>
      </c>
      <c r="H35" s="989"/>
      <c r="I35" s="988"/>
      <c r="J35" s="988"/>
      <c r="K35" s="988"/>
      <c r="L35" s="988"/>
      <c r="M35" s="988"/>
      <c r="N35" s="988"/>
      <c r="O35" s="988"/>
      <c r="P35" s="988"/>
      <c r="Q35" s="988"/>
      <c r="R35" s="988"/>
      <c r="S35" s="988"/>
      <c r="T35" s="990"/>
    </row>
    <row r="36" spans="1:24" ht="30" customHeight="1">
      <c r="A36" s="990" t="str">
        <f>+Parametres!$B$1</f>
        <v>BMW Sherbrooke</v>
      </c>
      <c r="B36" s="991"/>
      <c r="C36" s="992"/>
      <c r="D36" s="987"/>
      <c r="E36" s="989">
        <f t="shared" si="1"/>
        <v>0</v>
      </c>
      <c r="F36" s="988"/>
      <c r="G36" s="988">
        <f t="shared" si="2"/>
        <v>0</v>
      </c>
      <c r="H36" s="989"/>
      <c r="I36" s="988"/>
      <c r="J36" s="988"/>
      <c r="K36" s="988"/>
      <c r="L36" s="988"/>
      <c r="M36" s="988"/>
      <c r="N36" s="988"/>
      <c r="O36" s="988"/>
      <c r="P36" s="988"/>
      <c r="Q36" s="988"/>
      <c r="R36" s="988"/>
      <c r="S36" s="988"/>
      <c r="T36" s="990"/>
      <c r="X36" s="969" t="s">
        <v>2154</v>
      </c>
    </row>
    <row r="37" spans="1:24" ht="30" customHeight="1">
      <c r="A37" s="990" t="str">
        <f>+Parametres!$B$1</f>
        <v>BMW Sherbrooke</v>
      </c>
      <c r="B37" s="991"/>
      <c r="C37" s="992"/>
      <c r="D37" s="987"/>
      <c r="E37" s="989">
        <f t="shared" si="1"/>
        <v>0</v>
      </c>
      <c r="F37" s="988"/>
      <c r="G37" s="988">
        <f t="shared" si="2"/>
        <v>0</v>
      </c>
      <c r="H37" s="989"/>
      <c r="I37" s="988"/>
      <c r="J37" s="988"/>
      <c r="K37" s="988"/>
      <c r="L37" s="988"/>
      <c r="M37" s="988"/>
      <c r="N37" s="988"/>
      <c r="O37" s="988"/>
      <c r="P37" s="988"/>
      <c r="Q37" s="988"/>
      <c r="R37" s="988"/>
      <c r="S37" s="988"/>
      <c r="T37" s="990"/>
      <c r="X37" s="969" t="s">
        <v>2330</v>
      </c>
    </row>
    <row r="38" spans="1:24" ht="30" customHeight="1">
      <c r="A38" s="990" t="str">
        <f>+Parametres!$B$1</f>
        <v>BMW Sherbrooke</v>
      </c>
      <c r="B38" s="991"/>
      <c r="C38" s="992"/>
      <c r="D38" s="987"/>
      <c r="E38" s="989">
        <f t="shared" si="1"/>
        <v>0</v>
      </c>
      <c r="F38" s="988"/>
      <c r="G38" s="988">
        <f t="shared" si="2"/>
        <v>0</v>
      </c>
      <c r="H38" s="989"/>
      <c r="I38" s="988"/>
      <c r="J38" s="988"/>
      <c r="K38" s="988"/>
      <c r="L38" s="988"/>
      <c r="M38" s="988"/>
      <c r="N38" s="988"/>
      <c r="O38" s="988"/>
      <c r="P38" s="988"/>
      <c r="Q38" s="988"/>
      <c r="R38" s="988"/>
      <c r="S38" s="988"/>
      <c r="T38" s="990"/>
    </row>
    <row r="39" spans="1:24" ht="30" customHeight="1">
      <c r="A39" s="990" t="str">
        <f>+Parametres!$B$1</f>
        <v>BMW Sherbrooke</v>
      </c>
      <c r="B39" s="991"/>
      <c r="C39" s="992"/>
      <c r="D39" s="987"/>
      <c r="E39" s="989">
        <f t="shared" si="1"/>
        <v>0</v>
      </c>
      <c r="F39" s="988"/>
      <c r="G39" s="988">
        <f t="shared" si="2"/>
        <v>0</v>
      </c>
      <c r="H39" s="989"/>
      <c r="I39" s="988"/>
      <c r="J39" s="988"/>
      <c r="K39" s="988"/>
      <c r="L39" s="988"/>
      <c r="M39" s="988"/>
      <c r="N39" s="988"/>
      <c r="O39" s="988"/>
      <c r="P39" s="988"/>
      <c r="Q39" s="988"/>
      <c r="R39" s="988"/>
      <c r="S39" s="988"/>
      <c r="T39" s="990"/>
    </row>
    <row r="40" spans="1:24" ht="30" customHeight="1" thickBot="1">
      <c r="A40" s="993" t="str">
        <f>+Parametres!$B$1</f>
        <v>BMW Sherbrooke</v>
      </c>
      <c r="B40" s="994"/>
      <c r="C40" s="995"/>
      <c r="D40" s="996"/>
      <c r="E40" s="997">
        <f t="shared" si="1"/>
        <v>0</v>
      </c>
      <c r="F40" s="998"/>
      <c r="G40" s="998">
        <f t="shared" si="2"/>
        <v>0</v>
      </c>
      <c r="H40" s="997"/>
      <c r="I40" s="998"/>
      <c r="J40" s="998"/>
      <c r="K40" s="998"/>
      <c r="L40" s="998"/>
      <c r="M40" s="998"/>
      <c r="N40" s="998"/>
      <c r="O40" s="998"/>
      <c r="P40" s="998"/>
      <c r="Q40" s="998"/>
      <c r="R40" s="998"/>
      <c r="S40" s="998"/>
      <c r="T40" s="993"/>
    </row>
    <row r="42" spans="1:24" ht="30" customHeight="1">
      <c r="C42" s="999"/>
      <c r="D42" s="999"/>
    </row>
    <row r="43" spans="1:24" ht="30" customHeight="1">
      <c r="C43" s="972"/>
    </row>
    <row r="48" spans="1:24">
      <c r="E48" s="972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 codeName="Feuil14">
    <tabColor theme="1"/>
  </sheetPr>
  <dimension ref="B1:J48"/>
  <sheetViews>
    <sheetView workbookViewId="0">
      <selection activeCell="L19" sqref="L19"/>
    </sheetView>
  </sheetViews>
  <sheetFormatPr baseColWidth="10" defaultColWidth="11" defaultRowHeight="15"/>
  <cols>
    <col min="1" max="1" width="2.5" style="1105" customWidth="1"/>
    <col min="2" max="2" width="11" style="1110"/>
    <col min="3" max="3" width="18.25" style="1111" bestFit="1" customWidth="1"/>
    <col min="4" max="6" width="11" style="1111"/>
    <col min="7" max="7" width="10.875" style="1112" bestFit="1" customWidth="1"/>
    <col min="8" max="8" width="12.125" style="1111" customWidth="1"/>
    <col min="9" max="9" width="16.875" style="1111" customWidth="1"/>
    <col min="10" max="10" width="25.5" style="1113" customWidth="1"/>
    <col min="11" max="16384" width="11" style="1105"/>
  </cols>
  <sheetData>
    <row r="1" spans="2:10" ht="21">
      <c r="B1" s="1302" t="s">
        <v>2858</v>
      </c>
      <c r="C1" s="1303"/>
      <c r="D1" s="1303"/>
      <c r="E1" s="1303"/>
      <c r="F1" s="1303"/>
      <c r="G1" s="1303"/>
      <c r="H1" s="1303"/>
      <c r="I1" s="1303"/>
      <c r="J1" s="1304"/>
    </row>
    <row r="2" spans="2:10">
      <c r="B2" s="1106" t="s">
        <v>2859</v>
      </c>
      <c r="C2" s="1107" t="s">
        <v>2160</v>
      </c>
      <c r="D2" s="1107" t="s">
        <v>5</v>
      </c>
      <c r="E2" s="1107" t="s">
        <v>2156</v>
      </c>
      <c r="F2" s="1107" t="s">
        <v>2157</v>
      </c>
      <c r="G2" s="1108" t="s">
        <v>2860</v>
      </c>
      <c r="H2" s="1107" t="s">
        <v>2861</v>
      </c>
      <c r="I2" s="1107" t="s">
        <v>2862</v>
      </c>
      <c r="J2" s="1109" t="s">
        <v>2863</v>
      </c>
    </row>
    <row r="3" spans="2:10">
      <c r="E3" s="1114"/>
      <c r="F3" s="1114"/>
      <c r="H3" s="1114"/>
      <c r="I3" s="1114"/>
    </row>
    <row r="4" spans="2:10">
      <c r="C4" s="1135"/>
      <c r="E4" s="1115"/>
      <c r="F4" s="1134"/>
      <c r="H4" s="1115" t="s">
        <v>2869</v>
      </c>
      <c r="I4" s="1115" t="s">
        <v>2870</v>
      </c>
      <c r="J4" s="1116" t="s">
        <v>2871</v>
      </c>
    </row>
    <row r="5" spans="2:10">
      <c r="B5" s="1132"/>
      <c r="E5" s="1133"/>
      <c r="F5" s="1133"/>
      <c r="H5" s="1115" t="s">
        <v>2872</v>
      </c>
      <c r="I5" s="1115" t="s">
        <v>2873</v>
      </c>
      <c r="J5" s="1116" t="s">
        <v>2874</v>
      </c>
    </row>
    <row r="6" spans="2:10">
      <c r="H6" s="1180"/>
      <c r="I6" s="1180"/>
      <c r="J6" s="1181"/>
    </row>
    <row r="48" spans="5:5">
      <c r="E48" s="1111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 codeName="Feuil15">
    <tabColor theme="1"/>
  </sheetPr>
  <dimension ref="A1:AO52"/>
  <sheetViews>
    <sheetView topLeftCell="A22" workbookViewId="0">
      <selection activeCell="E48" sqref="E48"/>
    </sheetView>
  </sheetViews>
  <sheetFormatPr baseColWidth="10" defaultColWidth="11" defaultRowHeight="15"/>
  <cols>
    <col min="1" max="1" width="4.75" style="1037" customWidth="1"/>
    <col min="2" max="2" width="5.5" style="1037" customWidth="1"/>
    <col min="3" max="3" width="20" style="1037" customWidth="1"/>
    <col min="4" max="4" width="1.75" style="1037" customWidth="1"/>
    <col min="5" max="7" width="11.125" style="1040" customWidth="1"/>
    <col min="8" max="8" width="8" style="1040" customWidth="1"/>
    <col min="9" max="9" width="1.75" style="1040" customWidth="1"/>
    <col min="10" max="12" width="11.125" style="1040" customWidth="1"/>
    <col min="13" max="13" width="8" style="1040" customWidth="1"/>
    <col min="14" max="14" width="11" style="1037"/>
    <col min="15" max="15" width="10" style="1037" customWidth="1"/>
    <col min="16" max="16" width="11" style="1037"/>
    <col min="17" max="17" width="6.375" style="1037" customWidth="1"/>
    <col min="18" max="16384" width="11" style="1037"/>
  </cols>
  <sheetData>
    <row r="1" spans="1:17" ht="30.75" customHeight="1">
      <c r="C1" s="1307" t="str">
        <f>"Analyse Wholesale "&amp;Parametres!B1</f>
        <v>Analyse Wholesale BMW Sherbrooke</v>
      </c>
      <c r="D1" s="1307"/>
      <c r="E1" s="1307"/>
      <c r="F1" s="1307"/>
      <c r="G1" s="1307"/>
      <c r="H1" s="1307"/>
      <c r="I1" s="1307"/>
      <c r="J1" s="1307"/>
      <c r="K1" s="1307"/>
      <c r="L1" s="1038"/>
      <c r="M1" s="1038"/>
      <c r="N1" s="1039"/>
      <c r="O1" s="1039"/>
      <c r="P1" s="1039"/>
      <c r="Q1" s="1039"/>
    </row>
    <row r="2" spans="1:17" ht="14.25" hidden="1" customHeight="1">
      <c r="D2" s="1037" t="s">
        <v>285</v>
      </c>
      <c r="F2" s="1040" t="s">
        <v>270</v>
      </c>
      <c r="G2" s="1040" t="s">
        <v>306</v>
      </c>
      <c r="L2" s="1040" t="s">
        <v>285</v>
      </c>
      <c r="N2" s="1037" t="s">
        <v>270</v>
      </c>
      <c r="O2" s="1037" t="s">
        <v>306</v>
      </c>
    </row>
    <row r="4" spans="1:17" ht="15" customHeight="1">
      <c r="A4" s="1041"/>
      <c r="B4" s="1041"/>
      <c r="E4" s="1308" t="str">
        <f>CONCATENATE("Pièces Wholesale ",Parametres!B3," ",Parametres!B4)</f>
        <v>Pièces Wholesale Décembre 2025</v>
      </c>
      <c r="F4" s="1309"/>
      <c r="G4" s="1309"/>
      <c r="H4" s="1310"/>
      <c r="J4" s="1311" t="str">
        <f>CONCATENATE("Pièces Wholesale AAD ",Parametres!B4)</f>
        <v>Pièces Wholesale AAD 2025</v>
      </c>
      <c r="K4" s="1312"/>
      <c r="L4" s="1312"/>
      <c r="M4" s="1313"/>
    </row>
    <row r="5" spans="1:17">
      <c r="A5" s="1041"/>
      <c r="B5" s="1041"/>
      <c r="C5" s="1044"/>
      <c r="D5" s="1045"/>
      <c r="E5" s="1042" t="s">
        <v>2817</v>
      </c>
      <c r="F5" s="1043" t="s">
        <v>2818</v>
      </c>
      <c r="G5" s="1042" t="s">
        <v>2819</v>
      </c>
      <c r="H5" s="1043" t="s">
        <v>2820</v>
      </c>
      <c r="J5" s="1042" t="s">
        <v>2817</v>
      </c>
      <c r="K5" s="1043" t="s">
        <v>2818</v>
      </c>
      <c r="L5" s="1042" t="s">
        <v>2819</v>
      </c>
      <c r="M5" s="1043" t="s">
        <v>2820</v>
      </c>
    </row>
    <row r="6" spans="1:17">
      <c r="A6" s="1041"/>
      <c r="B6" s="1041"/>
      <c r="C6" s="1046" t="s">
        <v>2821</v>
      </c>
      <c r="D6" s="1047"/>
      <c r="E6" s="1048">
        <f>SUMIF(A37:A48,"X",E37:E48)</f>
        <v>0</v>
      </c>
      <c r="F6" s="1049">
        <f>SUMIF(A37:A48,"X",F37:F48)</f>
        <v>22</v>
      </c>
      <c r="G6" s="1048">
        <f>E6-F6</f>
        <v>-22</v>
      </c>
      <c r="H6" s="1183">
        <f>G6/F6</f>
        <v>-1</v>
      </c>
      <c r="J6" s="1184">
        <f>SUMIF($B$37:$B$48,"X",$E$37:$E$48)</f>
        <v>301</v>
      </c>
      <c r="K6" s="1049">
        <f>SUMIF($B$37:$B$48,"X",$F$37:$F$48)</f>
        <v>264</v>
      </c>
      <c r="L6" s="1048">
        <f>J6-K6</f>
        <v>37</v>
      </c>
      <c r="M6" s="1050">
        <f>L6/K6</f>
        <v>0.14015151515151514</v>
      </c>
    </row>
    <row r="7" spans="1:17">
      <c r="A7" s="1051" t="str">
        <f>B7&amp;C7</f>
        <v>piècesVentes de Gros</v>
      </c>
      <c r="B7" s="1051" t="s">
        <v>1893</v>
      </c>
      <c r="C7" s="1052" t="s">
        <v>174</v>
      </c>
      <c r="D7" s="1053"/>
      <c r="E7" s="1054">
        <f>-SUMIFS(BV_Data_An_Cour!$O:$O,BV_Data_An_Cour!$X:$X,"Oui",BV_Data_An_Cour!$U:$U,$B7,BV_Data_An_Cour!$V:$V,$C7)</f>
        <v>47567.43</v>
      </c>
      <c r="F7" s="1055">
        <f>+INDEX('Budget original'!$A$2:$AO$501,MATCH($A7,'Budget original'!$A$2:$A$501,0),MATCH(F$2,'Budget original'!$A$2:$AO$2,0))</f>
        <v>52086.308757231716</v>
      </c>
      <c r="G7" s="1056">
        <f>E7-F7</f>
        <v>-4518.878757231716</v>
      </c>
      <c r="H7" s="1057">
        <f>G7/F7</f>
        <v>-8.6757515843437646E-2</v>
      </c>
      <c r="J7" s="1054">
        <f>-SUMIFS(BV_Data_An_Cour!$P:$P,BV_Data_An_Cour!$X:$X,"Oui",BV_Data_An_Cour!$U:$U,$B7,BV_Data_An_Cour!$V:$V,$C7)</f>
        <v>47567.43</v>
      </c>
      <c r="K7" s="1055" cm="1">
        <f t="array" ref="K7">+SUMPRODUCT(('Budget original'!$A$8:$A$501=$A7)*('Budget original'!$C$3:$AO$3=N$2),'Budget original'!$C$8:$AO$501)</f>
        <v>580200</v>
      </c>
      <c r="L7" s="1058">
        <f t="shared" ref="L7:L10" si="0">J7-K7</f>
        <v>-532632.56999999995</v>
      </c>
      <c r="M7" s="1057">
        <f>L7/K7</f>
        <v>-0.91801546018614266</v>
      </c>
    </row>
    <row r="8" spans="1:17">
      <c r="A8" s="1051"/>
      <c r="B8" s="1051"/>
      <c r="C8" s="1059" t="s">
        <v>2822</v>
      </c>
      <c r="D8" s="1053"/>
      <c r="E8" s="1060">
        <f>E7-E9</f>
        <v>37386.17</v>
      </c>
      <c r="F8" s="1061">
        <f>F7-F9</f>
        <v>38725.98700578537</v>
      </c>
      <c r="G8" s="1054">
        <f t="shared" ref="G8:G15" si="1">E8-F8</f>
        <v>-1339.8170057853713</v>
      </c>
      <c r="H8" s="1062">
        <f t="shared" ref="H8:H9" si="2">G8/F8</f>
        <v>-3.4597362375430554E-2</v>
      </c>
      <c r="J8" s="1060">
        <f>J7-J9</f>
        <v>37386.17</v>
      </c>
      <c r="K8" s="1061">
        <f>K7-K9</f>
        <v>429620.01</v>
      </c>
      <c r="L8" s="1054">
        <f t="shared" si="0"/>
        <v>-392233.84</v>
      </c>
      <c r="M8" s="1062">
        <f t="shared" ref="M8:M9" si="3">L8/K8</f>
        <v>-0.91297851792331552</v>
      </c>
    </row>
    <row r="9" spans="1:17">
      <c r="C9" s="1063" t="s">
        <v>195</v>
      </c>
      <c r="D9" s="1053"/>
      <c r="E9" s="1064">
        <f>E12+E11</f>
        <v>10181.260000000002</v>
      </c>
      <c r="F9" s="1065">
        <f>F12+F11</f>
        <v>13360.321751446343</v>
      </c>
      <c r="G9" s="1064">
        <f t="shared" si="1"/>
        <v>-3179.0617514463411</v>
      </c>
      <c r="H9" s="1062">
        <f t="shared" si="2"/>
        <v>-0.23794799336342229</v>
      </c>
      <c r="J9" s="1064">
        <f>J12+J11</f>
        <v>10181.260000000002</v>
      </c>
      <c r="K9" s="1065">
        <f>K12+K11</f>
        <v>150579.99000000002</v>
      </c>
      <c r="L9" s="1064">
        <f t="shared" si="0"/>
        <v>-140398.73000000001</v>
      </c>
      <c r="M9" s="1062">
        <f t="shared" si="3"/>
        <v>-0.93238636820204324</v>
      </c>
    </row>
    <row r="10" spans="1:17">
      <c r="A10" s="1051"/>
      <c r="B10" s="1051"/>
      <c r="C10" s="1059" t="s">
        <v>2823</v>
      </c>
      <c r="D10" s="1053"/>
      <c r="E10" s="1066">
        <f>E9/E7</f>
        <v>0.21403847128171527</v>
      </c>
      <c r="F10" s="1067">
        <f>F9/F7</f>
        <v>0.25650352405883209</v>
      </c>
      <c r="G10" s="1066">
        <f t="shared" si="1"/>
        <v>-4.2465052777116818E-2</v>
      </c>
      <c r="H10" s="1062"/>
      <c r="J10" s="1066">
        <f>J9/J7</f>
        <v>0.21403847128171527</v>
      </c>
      <c r="K10" s="1067">
        <f>K9/K7</f>
        <v>0.25953117890382632</v>
      </c>
      <c r="L10" s="1066">
        <f t="shared" si="0"/>
        <v>-4.549270762211105E-2</v>
      </c>
      <c r="M10" s="1062"/>
    </row>
    <row r="11" spans="1:17">
      <c r="A11" s="1051"/>
      <c r="B11" s="1051"/>
      <c r="C11" s="1068" t="s">
        <v>2824</v>
      </c>
      <c r="D11" s="1053"/>
      <c r="E11" s="1058">
        <f>SUMIFS(BV_Data_An_Cour!$O:$O,BV_Data_An_Cour!$W:$W,$D$2,BV_Data_An_Cour!L:L,C31)</f>
        <v>909</v>
      </c>
      <c r="F11" s="1069">
        <f>SUMIF($A$37:$A$48,"X",$G$37:$G$48)</f>
        <v>2943.06</v>
      </c>
      <c r="G11" s="1058">
        <f t="shared" si="1"/>
        <v>-2034.06</v>
      </c>
      <c r="H11" s="1057">
        <f t="shared" ref="H11:H12" si="4">G11/F11</f>
        <v>-0.69113779535585407</v>
      </c>
      <c r="J11" s="1058">
        <f>SUMIFS(BV_Data_An_Cour!$P:$P,BV_Data_An_Cour!$W:$W,$L$2,BV_Data_An_Cour!T:T,C31)</f>
        <v>909</v>
      </c>
      <c r="K11" s="1069">
        <f>SUMIF($B$37:$B$48,"X",$G$37:$G$48)</f>
        <v>34539.99</v>
      </c>
      <c r="L11" s="1058">
        <f>J11-K11</f>
        <v>-33630.99</v>
      </c>
      <c r="M11" s="1057">
        <f t="shared" ref="M11:M12" si="5">L11/K11</f>
        <v>-0.97368267912063666</v>
      </c>
    </row>
    <row r="12" spans="1:17">
      <c r="A12" s="1070" t="s">
        <v>174</v>
      </c>
      <c r="B12" s="1051" t="s">
        <v>1893</v>
      </c>
      <c r="C12" s="1063" t="s">
        <v>2399</v>
      </c>
      <c r="D12" s="1053"/>
      <c r="E12" s="1064">
        <f>-SUMIFS(BV_Data_An_Cour!$O:$O,BV_Data_An_Cour!$U:$U,$B12,BV_Data_An_Cour!$V:$V,$A12,BV_Data_An_Cour!$W:$W,$D$2)</f>
        <v>9272.260000000002</v>
      </c>
      <c r="F12" s="1065">
        <f>+INDEX('Budget original'!$A$2:$AO$501,MATCH(B12&amp;$A12,'Budget original'!$A$2:$A$501,0),MATCH(G$2,'Budget original'!$A$2:$AO$2,0))</f>
        <v>10417.261751446344</v>
      </c>
      <c r="G12" s="1064">
        <f t="shared" si="1"/>
        <v>-1145.0017514463416</v>
      </c>
      <c r="H12" s="1062">
        <f t="shared" si="4"/>
        <v>-0.10991388896293869</v>
      </c>
      <c r="J12" s="1064">
        <f>-SUMIFS(BV_Data_An_Cour!$P:$P,BV_Data_An_Cour!$U:$U,$B12,BV_Data_An_Cour!$V:$V,$A12,BV_Data_An_Cour!$W:$W,$D$2)</f>
        <v>9272.260000000002</v>
      </c>
      <c r="K12" s="1065" cm="1">
        <f t="array" ref="K12">+SUMPRODUCT(('Budget original'!$A$8:$A$501=B12&amp;$A12)*('Budget original'!$C$3:$AO$3=O$2),'Budget original'!$C$8:$AO$501)</f>
        <v>116040.00000000001</v>
      </c>
      <c r="L12" s="1064">
        <f t="shared" ref="L12:L16" si="6">J12-K12</f>
        <v>-106767.74000000002</v>
      </c>
      <c r="M12" s="1062">
        <f t="shared" si="5"/>
        <v>-0.92009427783522924</v>
      </c>
    </row>
    <row r="13" spans="1:17">
      <c r="A13" s="1041"/>
      <c r="B13" s="1041"/>
      <c r="C13" s="1059" t="s">
        <v>108</v>
      </c>
      <c r="D13" s="1053"/>
      <c r="E13" s="1066">
        <f>(E12)/E7</f>
        <v>0.19492875692464365</v>
      </c>
      <c r="F13" s="1067">
        <f>(F12)/F7</f>
        <v>0.2</v>
      </c>
      <c r="G13" s="1071">
        <f t="shared" si="1"/>
        <v>-5.0712430753563631E-3</v>
      </c>
      <c r="H13" s="1072"/>
      <c r="J13" s="1066">
        <f>(J12)/J7</f>
        <v>0.19492875692464365</v>
      </c>
      <c r="K13" s="1067">
        <f>(K12)/K7</f>
        <v>0.20000000000000004</v>
      </c>
      <c r="L13" s="1071">
        <f t="shared" si="6"/>
        <v>-5.0712430753563909E-3</v>
      </c>
      <c r="M13" s="1072"/>
    </row>
    <row r="14" spans="1:17">
      <c r="A14" s="1041"/>
      <c r="B14" s="1041"/>
      <c r="C14" s="1068" t="s">
        <v>2825</v>
      </c>
      <c r="D14" s="1053"/>
      <c r="E14" s="1058">
        <f>SUMIFS(BV_Data_An_Cour!$O:$O,BV_Data_An_Cour!$W:$W,$D$2,BV_Data_An_Cour!L:L,C33)</f>
        <v>0</v>
      </c>
      <c r="F14" s="1073">
        <f>SUMIF(A37:A48,"X",F37:F48)*$G$33</f>
        <v>550</v>
      </c>
      <c r="G14" s="1054">
        <f>E14-F14</f>
        <v>-550</v>
      </c>
      <c r="H14" s="1062">
        <f t="shared" ref="H14:H15" si="7">G14/F14</f>
        <v>-1</v>
      </c>
      <c r="J14" s="1058">
        <f>SUMIFS(BV_Data_An_Cour!$P:$P,BV_Data_An_Cour!$W:$W,$L$2,BV_Data_An_Cour!T:T,C33)</f>
        <v>0</v>
      </c>
      <c r="K14" s="1073">
        <f>SUMIF(B37:B48,"X",F37:F48)*$G$33</f>
        <v>6600</v>
      </c>
      <c r="L14" s="1054">
        <f t="shared" si="6"/>
        <v>-6600</v>
      </c>
      <c r="M14" s="1062">
        <f t="shared" ref="M14:M15" si="8">L14/K14</f>
        <v>-1</v>
      </c>
    </row>
    <row r="15" spans="1:17">
      <c r="C15" s="1063" t="s">
        <v>2826</v>
      </c>
      <c r="D15" s="1053"/>
      <c r="E15" s="1064">
        <f>E12-E14</f>
        <v>9272.260000000002</v>
      </c>
      <c r="F15" s="1065">
        <f t="shared" ref="F15" si="9">F12-F14</f>
        <v>9867.2617514463436</v>
      </c>
      <c r="G15" s="1064">
        <f t="shared" si="1"/>
        <v>-595.00175144634159</v>
      </c>
      <c r="H15" s="1062">
        <f t="shared" si="7"/>
        <v>-6.030059467705174E-2</v>
      </c>
      <c r="J15" s="1064">
        <f t="shared" ref="J15:K15" si="10">J12-J14</f>
        <v>9272.260000000002</v>
      </c>
      <c r="K15" s="1065">
        <f t="shared" si="10"/>
        <v>109440.00000000001</v>
      </c>
      <c r="L15" s="1064">
        <f t="shared" si="6"/>
        <v>-100167.74000000002</v>
      </c>
      <c r="M15" s="1062">
        <f t="shared" si="8"/>
        <v>-0.9152754020467837</v>
      </c>
    </row>
    <row r="16" spans="1:17">
      <c r="C16" s="1074" t="s">
        <v>2827</v>
      </c>
      <c r="D16" s="1075"/>
      <c r="E16" s="1071">
        <f>E15/E7</f>
        <v>0.19492875692464365</v>
      </c>
      <c r="F16" s="1076">
        <f>F15/F7</f>
        <v>0.18944060323868434</v>
      </c>
      <c r="G16" s="1071">
        <f>E16-F16</f>
        <v>5.4881536859593127E-3</v>
      </c>
      <c r="H16" s="1076"/>
      <c r="J16" s="1071">
        <f>J15/J7</f>
        <v>0.19492875692464365</v>
      </c>
      <c r="K16" s="1076">
        <f>K15/K7</f>
        <v>0.18862461220268875</v>
      </c>
      <c r="L16" s="1071">
        <f t="shared" si="6"/>
        <v>6.3041447219548963E-3</v>
      </c>
      <c r="M16" s="1077"/>
    </row>
    <row r="17" spans="3:13">
      <c r="C17" s="1078"/>
      <c r="G17" s="1079"/>
      <c r="K17" s="1079"/>
    </row>
    <row r="18" spans="3:13">
      <c r="E18" s="1308" t="str">
        <f>CONCATENATE("Pièces Wholesale $ / livraison ",Parametres!B3," ",Parametres!B4)</f>
        <v>Pièces Wholesale $ / livraison Décembre 2025</v>
      </c>
      <c r="F18" s="1309"/>
      <c r="G18" s="1309"/>
      <c r="H18" s="1310"/>
      <c r="J18" s="1311" t="str">
        <f>CONCATENATE("Pièces Wholesale AAD $ / livraison ",Parametres!B4)</f>
        <v>Pièces Wholesale AAD $ / livraison 2025</v>
      </c>
      <c r="K18" s="1312"/>
      <c r="L18" s="1312"/>
      <c r="M18" s="1313"/>
    </row>
    <row r="19" spans="3:13">
      <c r="C19" s="1044"/>
      <c r="D19" s="1045"/>
      <c r="E19" s="1042" t="s">
        <v>2817</v>
      </c>
      <c r="F19" s="1043" t="s">
        <v>2818</v>
      </c>
      <c r="G19" s="1042" t="s">
        <v>2819</v>
      </c>
      <c r="H19" s="1043" t="s">
        <v>2820</v>
      </c>
      <c r="J19" s="1042" t="s">
        <v>2817</v>
      </c>
      <c r="K19" s="1043" t="s">
        <v>2818</v>
      </c>
      <c r="L19" s="1042" t="s">
        <v>2819</v>
      </c>
      <c r="M19" s="1043" t="s">
        <v>2820</v>
      </c>
    </row>
    <row r="20" spans="3:13">
      <c r="C20" s="1052" t="s">
        <v>174</v>
      </c>
      <c r="D20" s="1053"/>
      <c r="E20" s="1054" t="e">
        <f>E7/E$6</f>
        <v>#DIV/0!</v>
      </c>
      <c r="F20" s="1055">
        <f>F7/F$6</f>
        <v>2367.5594889650779</v>
      </c>
      <c r="G20" s="1058" t="e">
        <f t="shared" ref="G20:G25" si="11">E20-F20</f>
        <v>#DIV/0!</v>
      </c>
      <c r="H20" s="1057" t="e">
        <f t="shared" ref="H20:H26" si="12">G20/F20</f>
        <v>#DIV/0!</v>
      </c>
      <c r="J20" s="1054">
        <f>J7/J$6</f>
        <v>158.0313289036545</v>
      </c>
      <c r="K20" s="1055">
        <f>K7/K$6</f>
        <v>2197.7272727272725</v>
      </c>
      <c r="L20" s="1058">
        <f t="shared" ref="L20:L25" si="13">J20-K20</f>
        <v>-2039.6959438236181</v>
      </c>
      <c r="M20" s="1057">
        <f t="shared" ref="M20:M26" si="14">L20/K20</f>
        <v>-0.92809329398385942</v>
      </c>
    </row>
    <row r="21" spans="3:13">
      <c r="C21" s="1059" t="s">
        <v>2822</v>
      </c>
      <c r="D21" s="1053"/>
      <c r="E21" s="1060" t="e">
        <f t="shared" ref="E21:F22" si="15">E8/E$6</f>
        <v>#DIV/0!</v>
      </c>
      <c r="F21" s="1061">
        <f>F8/F$6</f>
        <v>1760.2721366266078</v>
      </c>
      <c r="G21" s="1054" t="e">
        <f t="shared" si="11"/>
        <v>#DIV/0!</v>
      </c>
      <c r="H21" s="1062" t="e">
        <f t="shared" si="12"/>
        <v>#DIV/0!</v>
      </c>
      <c r="J21" s="1060">
        <f t="shared" ref="J21:K22" si="16">J8/J$6</f>
        <v>124.20654485049833</v>
      </c>
      <c r="K21" s="1061">
        <f t="shared" si="16"/>
        <v>1627.3485227272727</v>
      </c>
      <c r="L21" s="1054">
        <f t="shared" si="13"/>
        <v>-1503.1419778767743</v>
      </c>
      <c r="M21" s="1062">
        <f t="shared" si="14"/>
        <v>-0.92367551073672849</v>
      </c>
    </row>
    <row r="22" spans="3:13">
      <c r="C22" s="1063" t="s">
        <v>195</v>
      </c>
      <c r="D22" s="1053"/>
      <c r="E22" s="1064" t="e">
        <f>E9/E$6</f>
        <v>#DIV/0!</v>
      </c>
      <c r="F22" s="1065">
        <f t="shared" si="15"/>
        <v>607.2873523384701</v>
      </c>
      <c r="G22" s="1064" t="e">
        <f t="shared" si="11"/>
        <v>#DIV/0!</v>
      </c>
      <c r="H22" s="1062" t="e">
        <f t="shared" si="12"/>
        <v>#DIV/0!</v>
      </c>
      <c r="J22" s="1064">
        <f t="shared" si="16"/>
        <v>33.824784053156151</v>
      </c>
      <c r="K22" s="1065">
        <f t="shared" si="16"/>
        <v>570.37875000000008</v>
      </c>
      <c r="L22" s="1064">
        <f t="shared" si="13"/>
        <v>-536.55396594684396</v>
      </c>
      <c r="M22" s="1062">
        <f t="shared" si="14"/>
        <v>-0.94069767842305463</v>
      </c>
    </row>
    <row r="23" spans="3:13">
      <c r="C23" s="1068" t="s">
        <v>2824</v>
      </c>
      <c r="D23" s="1053"/>
      <c r="E23" s="1058" t="e">
        <f>E11/E$6</f>
        <v>#DIV/0!</v>
      </c>
      <c r="F23" s="1069">
        <f>F11/F$6</f>
        <v>133.77545454545455</v>
      </c>
      <c r="G23" s="1058" t="e">
        <f t="shared" si="11"/>
        <v>#DIV/0!</v>
      </c>
      <c r="H23" s="1057" t="e">
        <f t="shared" si="12"/>
        <v>#DIV/0!</v>
      </c>
      <c r="J23" s="1058">
        <f t="shared" ref="J23:K23" si="17">J11/J$6</f>
        <v>3.0199335548172757</v>
      </c>
      <c r="K23" s="1069">
        <f t="shared" si="17"/>
        <v>130.83329545454544</v>
      </c>
      <c r="L23" s="1058">
        <f t="shared" si="13"/>
        <v>-127.81336189972816</v>
      </c>
      <c r="M23" s="1057">
        <f t="shared" si="14"/>
        <v>-0.97691769863072453</v>
      </c>
    </row>
    <row r="24" spans="3:13">
      <c r="C24" s="1063" t="s">
        <v>2399</v>
      </c>
      <c r="D24" s="1053"/>
      <c r="E24" s="1064" t="e">
        <f>E12/E$6</f>
        <v>#DIV/0!</v>
      </c>
      <c r="F24" s="1065">
        <f>F12/F$6</f>
        <v>473.51189779301563</v>
      </c>
      <c r="G24" s="1080" t="e">
        <f t="shared" si="11"/>
        <v>#DIV/0!</v>
      </c>
      <c r="H24" s="1072" t="e">
        <f t="shared" si="12"/>
        <v>#DIV/0!</v>
      </c>
      <c r="J24" s="1064">
        <f>J12/J$6</f>
        <v>30.804850498338876</v>
      </c>
      <c r="K24" s="1065">
        <f>K12/K$6</f>
        <v>439.54545454545462</v>
      </c>
      <c r="L24" s="1080">
        <f t="shared" si="13"/>
        <v>-408.74060404711577</v>
      </c>
      <c r="M24" s="1072">
        <f t="shared" si="14"/>
        <v>-0.92991657590863963</v>
      </c>
    </row>
    <row r="25" spans="3:13">
      <c r="C25" s="1068" t="s">
        <v>2825</v>
      </c>
      <c r="D25" s="1053"/>
      <c r="E25" s="1081" t="e">
        <f>E14/E$6</f>
        <v>#DIV/0!</v>
      </c>
      <c r="F25" s="1073">
        <f>F14/F$6</f>
        <v>25</v>
      </c>
      <c r="G25" s="1054" t="e">
        <f t="shared" si="11"/>
        <v>#DIV/0!</v>
      </c>
      <c r="H25" s="1062" t="e">
        <f t="shared" si="12"/>
        <v>#DIV/0!</v>
      </c>
      <c r="J25" s="1058">
        <f t="shared" ref="J25:K25" si="18">J14/J$6</f>
        <v>0</v>
      </c>
      <c r="K25" s="1073">
        <f t="shared" si="18"/>
        <v>25</v>
      </c>
      <c r="L25" s="1054">
        <f t="shared" si="13"/>
        <v>-25</v>
      </c>
      <c r="M25" s="1062">
        <f t="shared" si="14"/>
        <v>-1</v>
      </c>
    </row>
    <row r="26" spans="3:13">
      <c r="C26" s="1082" t="s">
        <v>2826</v>
      </c>
      <c r="D26" s="1053"/>
      <c r="E26" s="1080" t="e">
        <f>E15/E$6</f>
        <v>#DIV/0!</v>
      </c>
      <c r="F26" s="1083">
        <f>F15/F$6</f>
        <v>448.51189779301563</v>
      </c>
      <c r="G26" s="1080" t="e">
        <f>E26-F26</f>
        <v>#DIV/0!</v>
      </c>
      <c r="H26" s="1072" t="e">
        <f t="shared" si="12"/>
        <v>#DIV/0!</v>
      </c>
      <c r="J26" s="1080">
        <f>J15/J$6</f>
        <v>30.804850498338876</v>
      </c>
      <c r="K26" s="1083">
        <f>K15/K$6</f>
        <v>414.54545454545462</v>
      </c>
      <c r="L26" s="1080">
        <f>J26-K26</f>
        <v>-383.74060404711577</v>
      </c>
      <c r="M26" s="1072">
        <f t="shared" si="14"/>
        <v>-0.92569005362242818</v>
      </c>
    </row>
    <row r="27" spans="3:13">
      <c r="C27" s="1078"/>
      <c r="G27" s="1079"/>
      <c r="K27" s="1079"/>
    </row>
    <row r="29" spans="3:13">
      <c r="C29" s="1084" t="s">
        <v>2828</v>
      </c>
    </row>
    <row r="30" spans="3:13">
      <c r="C30" s="1085" t="s">
        <v>2829</v>
      </c>
      <c r="E30" s="1086" t="s">
        <v>2830</v>
      </c>
      <c r="F30" s="1087"/>
      <c r="G30" s="1088">
        <f>SUMIF(A37:A48,"X",E37:E48)*$G$33-E14</f>
        <v>0</v>
      </c>
      <c r="H30" s="1089" t="s">
        <v>2831</v>
      </c>
    </row>
    <row r="31" spans="3:13">
      <c r="C31" s="1090" t="s">
        <v>2842</v>
      </c>
      <c r="E31" s="1086" t="s">
        <v>2832</v>
      </c>
      <c r="F31" s="1087"/>
      <c r="G31" s="1088">
        <f>SUMIF(B37:B48,"X",E37:E48)*$G$33-J14</f>
        <v>7525</v>
      </c>
      <c r="H31" s="1089" t="s">
        <v>2831</v>
      </c>
    </row>
    <row r="32" spans="3:13">
      <c r="C32" s="1085" t="s">
        <v>2833</v>
      </c>
    </row>
    <row r="33" spans="1:41">
      <c r="C33" s="1090" t="s">
        <v>2843</v>
      </c>
      <c r="E33" s="1314" t="s">
        <v>2834</v>
      </c>
      <c r="F33" s="1314"/>
      <c r="G33" s="1091">
        <v>25</v>
      </c>
    </row>
    <row r="35" spans="1:41">
      <c r="E35" s="1305" t="s">
        <v>2835</v>
      </c>
      <c r="F35" s="1306"/>
    </row>
    <row r="36" spans="1:41" ht="46.5" customHeight="1">
      <c r="A36" s="1092" t="s">
        <v>293</v>
      </c>
      <c r="B36" s="1092" t="s">
        <v>304</v>
      </c>
      <c r="C36" s="1093" t="s">
        <v>293</v>
      </c>
      <c r="D36" s="1087"/>
      <c r="E36" s="1094" t="s">
        <v>2817</v>
      </c>
      <c r="F36" s="1094" t="s">
        <v>2836</v>
      </c>
      <c r="G36" s="1095" t="s">
        <v>2837</v>
      </c>
      <c r="H36" s="1037" t="str">
        <f>+IF(Parametres!$B$3=H$38,"X","")</f>
        <v/>
      </c>
      <c r="I36" s="1040" t="str">
        <f>+IF(Parametres!$B$3=I$38,"X","")</f>
        <v/>
      </c>
      <c r="J36" s="1040" t="str">
        <f>+IF(Parametres!$B$3=J$38,"X","")</f>
        <v/>
      </c>
      <c r="K36" s="1040" t="str">
        <f>+IF(Parametres!$B$3=K$38,"X","")</f>
        <v/>
      </c>
      <c r="L36" s="1040" t="str">
        <f>+IF(Parametres!$B$3=L$38,"X","")</f>
        <v/>
      </c>
      <c r="M36" s="1040" t="str">
        <f>+IF(Parametres!$B$3=M$38,"X","")</f>
        <v/>
      </c>
      <c r="N36" s="1040" t="str">
        <f>+IF(Parametres!$B$3=N$38,"X","")</f>
        <v/>
      </c>
      <c r="O36" s="1040" t="str">
        <f>+IF(Parametres!$B$3=O$38,"X","")</f>
        <v/>
      </c>
      <c r="P36" s="1040" t="str">
        <f>+IF(Parametres!$B$3=P$38,"X","")</f>
        <v/>
      </c>
      <c r="Q36" s="1040" t="str">
        <f>+IF(Parametres!$B$3=Q$38,"X","")</f>
        <v/>
      </c>
      <c r="R36" s="1037" t="str">
        <f>+IF(Parametres!$B$3=R$38,"X","")</f>
        <v/>
      </c>
      <c r="S36" s="1037" t="str">
        <f>+IF(Parametres!$B$3=S$38,"X","")</f>
        <v/>
      </c>
      <c r="U36" s="1037" t="str">
        <f>+IF(Parametres!$B$3=N$7,"X","")</f>
        <v/>
      </c>
      <c r="V36" s="1037" t="str">
        <f>+IF(Parametres!$B$3=N$7,"O","")</f>
        <v/>
      </c>
      <c r="W36" s="1037" t="str">
        <f>+IF(Parametres!$B$3=N$7,"U","")</f>
        <v/>
      </c>
      <c r="X36" s="1037" t="str">
        <f>+IF(Parametres!$B$3=Q$7,"X","")</f>
        <v/>
      </c>
      <c r="Y36" s="1037" t="str">
        <f>+IF(Parametres!$B$3=Q$7,"O","")</f>
        <v/>
      </c>
      <c r="Z36" s="1037" t="str">
        <f>+IF(Parametres!$B$3=Q$7,"U","")</f>
        <v/>
      </c>
      <c r="AA36" s="1037" t="str">
        <f>+IF(Parametres!$B$3=T$7,"X","")</f>
        <v/>
      </c>
      <c r="AB36" s="1037" t="str">
        <f>+IF(Parametres!$B$3=T$7,"O","")</f>
        <v/>
      </c>
      <c r="AC36" s="1037" t="str">
        <f>+IF(Parametres!$B$3=T$7,"U","")</f>
        <v/>
      </c>
      <c r="AD36" s="1037" t="str">
        <f>+IF(Parametres!$B$3=W$7,"X","")</f>
        <v/>
      </c>
      <c r="AE36" s="1037" t="str">
        <f>+IF(Parametres!$B$3=W$7,"O","")</f>
        <v/>
      </c>
      <c r="AF36" s="1037" t="str">
        <f>+IF(Parametres!$B$3=W$7,"U","")</f>
        <v/>
      </c>
      <c r="AG36" s="1037" t="str">
        <f>+IF(Parametres!$B$3=Z$7,"X","")</f>
        <v/>
      </c>
      <c r="AH36" s="1037" t="str">
        <f>+IF(Parametres!$B$3=Z$7,"O","")</f>
        <v/>
      </c>
      <c r="AI36" s="1037" t="str">
        <f>+IF(Parametres!$B$3=Z$7,"U","")</f>
        <v/>
      </c>
      <c r="AJ36" s="1037" t="str">
        <f>+IF(Parametres!$B$3=AC$7,"X","")</f>
        <v/>
      </c>
      <c r="AK36" s="1037" t="str">
        <f>+IF(Parametres!$B$3=AC$7,"O","")</f>
        <v/>
      </c>
      <c r="AL36" s="1037" t="str">
        <f>+IF(Parametres!$B$3=AC$7,"U","")</f>
        <v/>
      </c>
      <c r="AM36" s="1037" t="str">
        <f>+IF(Parametres!$B$3=AF$7,"X","")</f>
        <v/>
      </c>
      <c r="AN36" s="1037" t="str">
        <f>+IF(Parametres!$B$3=AF$7,"O","")</f>
        <v/>
      </c>
      <c r="AO36" s="1037" t="str">
        <f>+IF(Parametres!$B$3=AF$7,"U","")</f>
        <v/>
      </c>
    </row>
    <row r="37" spans="1:41">
      <c r="A37" s="1096" t="str">
        <f>+IF(Parametres!$B$3=$C37,"X","")</f>
        <v/>
      </c>
      <c r="B37" s="1096" t="str">
        <f>+IF(VLOOKUP($C37,Parametres!$K$3:$N$14,4,0)="X","X","")</f>
        <v>X</v>
      </c>
      <c r="C37" s="1097" t="s">
        <v>294</v>
      </c>
      <c r="E37" s="1098">
        <v>14</v>
      </c>
      <c r="F37" s="1098">
        <v>22</v>
      </c>
      <c r="G37" s="1098">
        <v>2662.04</v>
      </c>
      <c r="H37" s="1037"/>
      <c r="I37" s="1037"/>
      <c r="J37" s="1037"/>
      <c r="K37" s="1037"/>
      <c r="L37" s="1037"/>
      <c r="M37" s="1037"/>
    </row>
    <row r="38" spans="1:41">
      <c r="A38" s="1096" t="str">
        <f>+IF(Parametres!$B$3=$C38,"X","")</f>
        <v/>
      </c>
      <c r="B38" s="1096" t="str">
        <f>+IF(VLOOKUP($C38,Parametres!$K$3:$N$14,4,0)="X","X","")</f>
        <v>X</v>
      </c>
      <c r="C38" s="1099" t="s">
        <v>295</v>
      </c>
      <c r="E38" s="1098">
        <v>34</v>
      </c>
      <c r="F38" s="1098">
        <v>22</v>
      </c>
      <c r="G38" s="1098">
        <v>2686.35</v>
      </c>
      <c r="H38" s="1037"/>
      <c r="I38" s="1037"/>
      <c r="J38" s="1037"/>
      <c r="K38" s="1037"/>
      <c r="L38" s="1037"/>
      <c r="M38" s="1037"/>
    </row>
    <row r="39" spans="1:41">
      <c r="A39" s="1037" t="str">
        <f>+IF(Parametres!$B$3=$C39,"X","")</f>
        <v/>
      </c>
      <c r="B39" s="1037" t="str">
        <f>+IF(VLOOKUP($C39,Parametres!$K$3:$N$14,4,0)="X","X","")</f>
        <v>X</v>
      </c>
      <c r="C39" s="1099" t="s">
        <v>296</v>
      </c>
      <c r="E39" s="1098">
        <v>30</v>
      </c>
      <c r="F39" s="1098">
        <v>22</v>
      </c>
      <c r="G39" s="1098">
        <v>3119.76</v>
      </c>
      <c r="H39" s="1037"/>
      <c r="I39" s="1037"/>
      <c r="J39" s="1037"/>
      <c r="K39" s="1037"/>
      <c r="L39" s="1037"/>
      <c r="M39" s="1037"/>
    </row>
    <row r="40" spans="1:41">
      <c r="A40" s="1037" t="str">
        <f>+IF(Parametres!$B$3=$C40,"X","")</f>
        <v/>
      </c>
      <c r="B40" s="1037" t="str">
        <f>+IF(VLOOKUP($C40,Parametres!$K$3:$N$14,4,0)="X","X","")</f>
        <v>X</v>
      </c>
      <c r="C40" s="1099" t="s">
        <v>297</v>
      </c>
      <c r="E40" s="1098">
        <v>37</v>
      </c>
      <c r="F40" s="1098">
        <v>22</v>
      </c>
      <c r="G40" s="1098">
        <v>2194.1999999999998</v>
      </c>
      <c r="H40" s="1037"/>
      <c r="I40" s="1037"/>
      <c r="J40" s="1037"/>
      <c r="K40" s="1037"/>
      <c r="L40" s="1037"/>
      <c r="M40" s="1037"/>
    </row>
    <row r="41" spans="1:41">
      <c r="A41" s="1037" t="str">
        <f>+IF(Parametres!$B$3=$C41,"X","")</f>
        <v/>
      </c>
      <c r="B41" s="1037" t="str">
        <f>+IF(VLOOKUP($C41,Parametres!$K$3:$N$14,4,0)="X","X","")</f>
        <v>X</v>
      </c>
      <c r="C41" s="1099" t="s">
        <v>298</v>
      </c>
      <c r="E41" s="1098">
        <v>32</v>
      </c>
      <c r="F41" s="1098">
        <v>22</v>
      </c>
      <c r="G41" s="1098">
        <v>3569.08</v>
      </c>
      <c r="H41" s="1037"/>
      <c r="I41" s="1037"/>
      <c r="J41" s="1037"/>
      <c r="K41" s="1037"/>
      <c r="L41" s="1037"/>
      <c r="M41" s="1037"/>
    </row>
    <row r="42" spans="1:41">
      <c r="A42" s="1037" t="str">
        <f>+IF(Parametres!$B$3=$C42,"X","")</f>
        <v/>
      </c>
      <c r="B42" s="1037" t="str">
        <f>+IF(VLOOKUP($C42,Parametres!$K$3:$N$14,4,0)="X","X","")</f>
        <v>X</v>
      </c>
      <c r="C42" s="1099" t="s">
        <v>284</v>
      </c>
      <c r="E42" s="1098">
        <v>27</v>
      </c>
      <c r="F42" s="1098">
        <v>22</v>
      </c>
      <c r="G42" s="1098">
        <v>2969.14</v>
      </c>
      <c r="N42" s="1040"/>
      <c r="O42" s="1040"/>
      <c r="P42" s="1040"/>
      <c r="Q42" s="1040"/>
      <c r="R42" s="1087"/>
      <c r="S42" s="1087"/>
    </row>
    <row r="43" spans="1:41">
      <c r="A43" s="1037" t="str">
        <f>+IF(Parametres!$B$3=$C43,"X","")</f>
        <v/>
      </c>
      <c r="B43" s="1037" t="str">
        <f>+IF(VLOOKUP($C43,Parametres!$K$3:$N$14,4,0)="X","X","")</f>
        <v>X</v>
      </c>
      <c r="C43" s="1099" t="s">
        <v>299</v>
      </c>
      <c r="E43" s="1098">
        <v>30</v>
      </c>
      <c r="F43" s="1098">
        <v>22</v>
      </c>
      <c r="G43" s="1098">
        <v>2322.39</v>
      </c>
      <c r="N43" s="1040"/>
      <c r="O43" s="1040"/>
      <c r="P43" s="1040"/>
      <c r="Q43" s="1040"/>
      <c r="R43" s="1087"/>
      <c r="S43" s="1087"/>
    </row>
    <row r="44" spans="1:41">
      <c r="A44" s="1037" t="str">
        <f>+IF(Parametres!$B$3=$C44,"X","")</f>
        <v/>
      </c>
      <c r="B44" s="1037" t="str">
        <f>+IF(VLOOKUP($C44,Parametres!$K$3:$N$14,4,0)="X","X","")</f>
        <v>X</v>
      </c>
      <c r="C44" s="1099" t="s">
        <v>300</v>
      </c>
      <c r="E44" s="1098">
        <v>27</v>
      </c>
      <c r="F44" s="1098">
        <v>22</v>
      </c>
      <c r="G44" s="1098">
        <v>2796.57</v>
      </c>
      <c r="H44" s="1087"/>
      <c r="I44" s="1088"/>
      <c r="N44" s="1040"/>
      <c r="O44" s="1040"/>
      <c r="P44" s="1040"/>
      <c r="Q44" s="1040"/>
      <c r="R44" s="1087"/>
      <c r="S44" s="1087"/>
    </row>
    <row r="45" spans="1:41">
      <c r="A45" s="1037" t="str">
        <f>+IF(Parametres!$B$3=$C45,"X","")</f>
        <v/>
      </c>
      <c r="B45" s="1037" t="str">
        <f>+IF(VLOOKUP($C45,Parametres!$K$3:$N$14,4,0)="X","X","")</f>
        <v>X</v>
      </c>
      <c r="C45" s="1099" t="s">
        <v>3</v>
      </c>
      <c r="E45" s="1098">
        <v>26</v>
      </c>
      <c r="F45" s="1098">
        <v>22</v>
      </c>
      <c r="G45" s="1098">
        <v>3451.22</v>
      </c>
      <c r="H45" s="1087"/>
      <c r="I45" s="1088"/>
      <c r="N45" s="1040"/>
      <c r="O45" s="1040"/>
      <c r="P45" s="1040"/>
      <c r="Q45" s="1040"/>
      <c r="R45" s="1087"/>
      <c r="S45" s="1087"/>
    </row>
    <row r="46" spans="1:41" ht="18" customHeight="1">
      <c r="A46" s="1037" t="str">
        <f>+IF(Parametres!$B$3=$C46,"X","")</f>
        <v/>
      </c>
      <c r="B46" s="1037" t="str">
        <f>+IF(VLOOKUP($C46,Parametres!$K$3:$N$14,4,0)="X","X","")</f>
        <v>X</v>
      </c>
      <c r="C46" s="1099" t="s">
        <v>301</v>
      </c>
      <c r="E46" s="1098">
        <v>22</v>
      </c>
      <c r="F46" s="1098">
        <v>22</v>
      </c>
      <c r="G46" s="1098">
        <v>2901.53</v>
      </c>
      <c r="H46" s="1087"/>
      <c r="I46" s="1088"/>
      <c r="N46" s="1040"/>
      <c r="O46" s="1040"/>
      <c r="P46" s="1040"/>
      <c r="Q46" s="1040"/>
      <c r="R46" s="1087"/>
      <c r="S46" s="1087"/>
    </row>
    <row r="47" spans="1:41">
      <c r="A47" s="1037" t="str">
        <f>+IF(Parametres!$B$3=$C47,"X","")</f>
        <v/>
      </c>
      <c r="B47" s="1037" t="str">
        <f>+IF(VLOOKUP($C47,Parametres!$K$3:$N$14,4,0)="X","X","")</f>
        <v>X</v>
      </c>
      <c r="C47" s="1100" t="s">
        <v>302</v>
      </c>
      <c r="E47" s="1098">
        <v>22</v>
      </c>
      <c r="F47" s="1098">
        <v>22</v>
      </c>
      <c r="G47" s="1098">
        <v>2924.65</v>
      </c>
    </row>
    <row r="48" spans="1:41">
      <c r="A48" s="1037" t="str">
        <f>+IF(Parametres!$B$3=$C48,"X","")</f>
        <v>X</v>
      </c>
      <c r="B48" s="1037" t="str">
        <f>+IF(VLOOKUP($C48,Parametres!$K$3:$N$14,4,0)="X","X","")</f>
        <v>X</v>
      </c>
      <c r="C48" s="1101" t="s">
        <v>303</v>
      </c>
      <c r="E48" s="1102"/>
      <c r="F48" s="1098">
        <v>22</v>
      </c>
      <c r="G48" s="110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Inventaire_Neuf</vt:lpstr>
      <vt:lpstr>Inventaire_Used</vt:lpstr>
      <vt:lpstr>Print_Mois</vt:lpstr>
      <vt:lpstr>Print_AAD</vt:lpstr>
      <vt:lpstr>BV_Data_An_Cour</vt:lpstr>
      <vt:lpstr>BV_Data_An_Prec</vt:lpstr>
      <vt:lpstr>Data_Validation</vt:lpstr>
      <vt:lpstr>Budget original</vt:lpstr>
      <vt:lpstr>Réel 2024</vt:lpstr>
      <vt:lpstr>Résumé</vt:lpstr>
      <vt:lpstr>Q3</vt:lpstr>
      <vt:lpstr>2pager</vt:lpstr>
      <vt:lpstr>Capex</vt:lpstr>
      <vt:lpstr>Démo</vt:lpstr>
      <vt:lpstr>Wholesale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'Q3'!Zone_d_impression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2025-12-12T14:03:53Z</cp:lastPrinted>
  <dcterms:created xsi:type="dcterms:W3CDTF">2020-10-20T13:57:48Z</dcterms:created>
  <dcterms:modified xsi:type="dcterms:W3CDTF">2026-01-15T17:55:36Z</dcterms:modified>
</cp:coreProperties>
</file>