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97D1D9E4-B5F2-445D-B978-4219B00C290F}"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<sst xmlns="http://schemas.openxmlformats.org/spreadsheetml/2006/main" count="17262" uniqueCount="3149">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</sst>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12</v>
      </c>
      <c r="C3" s="4">
        <f>+VLOOKUP(B3,$K$3:$L$14,2,0)</f>
        <v>6</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X</v>
      </c>
      <c r="N8" s="4" t="str">
        <f t="shared" si="1"/>
        <v>X</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Juin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11272398.359999999</v>
      </c>
      <c r="C5" s="14"/>
      <c r="D5" s="13" t="s">
        <v>22</v>
      </c>
      <c r="E5" s="949">
        <f>-SUMIFS(BV_Data_An_Cour!$AN:$AN,BV_Data_An_Cour!$AP:$AP,$A$1,BV_Data_An_Cour!$AQ:$AQ,$D5)</f>
        <v>3697580.28</v>
      </c>
      <c r="F5" s="3"/>
      <c r="G5" s="3"/>
      <c r="H5" s="3"/>
      <c r="I5" s="3"/>
      <c r="J5" s="3"/>
      <c r="K5" s="3"/>
      <c r="L5" s="3"/>
      <c r="M5" s="3"/>
      <c r="N5" s="3"/>
      <c r="O5" s="3"/>
      <c r="P5" s="3"/>
      <c r="Q5" s="3"/>
      <c r="R5" s="3"/>
      <c r="S5" s="3"/>
      <c r="T5" s="3"/>
      <c r="U5" s="3"/>
      <c r="V5" s="3"/>
      <c r="W5" s="3"/>
      <c r="X5" s="3"/>
      <c r="Y5" s="3"/>
    </row>
    <row r="6" spans="1:25" ht="14.4">
      <c r="A6" s="15" t="s">
        <v>23</v>
      </c>
      <c r="B6" s="16">
        <f>SUM(B5)</f>
        <v>11272398.359999999</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861532.8</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6392194.3099999987</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887568.96</v>
      </c>
      <c r="C10" s="14"/>
      <c r="D10" s="18" t="s">
        <v>29</v>
      </c>
      <c r="E10" s="19">
        <f>-SUMIFS(BV_Data_An_Cour!$AN:$AN,BV_Data_An_Cour!$AP:$AP,$A$1,BV_Data_An_Cour!$AQ:$AQ,$D10)</f>
        <v>517114.57</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732468.75</v>
      </c>
      <c r="C11" s="14"/>
      <c r="D11" s="18" t="s">
        <v>31</v>
      </c>
      <c r="E11" s="19">
        <f>-SUMIFS(BV_Data_An_Cour!$AN:$AN,BV_Data_An_Cour!$AP:$AP,$A$1,BV_Data_An_Cour!$AQ:$AQ,$D11)</f>
        <v>436755.9</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12782.79</v>
      </c>
      <c r="C12" s="14"/>
      <c r="D12" s="18" t="s">
        <v>33</v>
      </c>
      <c r="E12" s="19">
        <f>-SUMIFS(BV_Data_An_Cour!$AN:$AN,BV_Data_An_Cour!$AP:$AP,$A$1,BV_Data_An_Cour!$AQ:$AQ,$D12)</f>
        <v>-64424</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11964.03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6871130.3499999996</v>
      </c>
      <c r="C14" s="14"/>
      <c r="D14" s="18" t="s">
        <v>37</v>
      </c>
      <c r="E14" s="19">
        <f>-SUMIFS(BV_Data_An_Cour!$AN:$AN,BV_Data_An_Cour!$AP:$AP,$A$1,BV_Data_An_Cour!$AQ:$AQ,$D14)</f>
        <v>7732851.0600000005</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1444689.5899999999</v>
      </c>
      <c r="C15" s="14"/>
      <c r="D15" s="18" t="s">
        <v>39</v>
      </c>
      <c r="E15" s="19">
        <f>-SUMIFS(BV_Data_An_Cour!$AN:$AN,BV_Data_An_Cour!$AP:$AP,$A$1,BV_Data_An_Cour!$AQ:$AQ,$D15)</f>
        <v>24586.149999999998</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17214331.579999998</v>
      </c>
      <c r="C16" s="17"/>
      <c r="D16" s="15" t="s">
        <v>41</v>
      </c>
      <c r="E16" s="16">
        <f>+SUM(E10:E15)</f>
        <v>8646883.6800000016</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22745878.559999999</v>
      </c>
      <c r="C18" s="14"/>
      <c r="D18" s="18" t="s">
        <v>43</v>
      </c>
      <c r="E18" s="19">
        <f>-SUMIFS(BV_Data_An_Cour!$AN:$AN,BV_Data_An_Cour!$AP:$AP,$A$1,BV_Data_An_Cour!$AQ:$AQ,$D18)</f>
        <v>29745813.18</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10092576.199999999</v>
      </c>
      <c r="C19" s="14"/>
      <c r="D19" s="18" t="s">
        <v>45</v>
      </c>
      <c r="E19" s="19">
        <f>-SUMIFS(BV_Data_An_Cour!$AN:$AN,BV_Data_An_Cour!$AP:$AP,$A$1,BV_Data_An_Cour!$AQ:$AQ,$D19)</f>
        <v>10652719.73</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468677.67</v>
      </c>
      <c r="C20" s="14"/>
      <c r="D20" s="15" t="s">
        <v>47</v>
      </c>
      <c r="E20" s="16">
        <f>+SUM(E18:E19)</f>
        <v>40398532.909999996</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33307132.43</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260064.74</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14004.009999999998</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8749.67</v>
      </c>
      <c r="C24" s="14"/>
      <c r="D24" s="18" t="s">
        <v>53</v>
      </c>
      <c r="E24" s="19">
        <f>-SUMIFS(BV_Data_An_Cour!$AN:$AN,BV_Data_An_Cour!$AP:$AP,$A$1,BV_Data_An_Cour!$AQ:$AQ,$D24)</f>
        <v>1712483.3500000003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48616.52</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3066096.6399999997</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1986552.1000000003</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3123462.8299999996</v>
      </c>
      <c r="C30" s="17"/>
      <c r="D30" s="21" t="s">
        <v>59</v>
      </c>
      <c r="E30" s="22">
        <f>+E5+E7+E16+E20+E28</f>
        <v>54729548.969999999</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64917325.199999996</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159844.28</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350635.27000000019</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47830.219999999972</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72010.819999999978</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7545.4799999999959</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637866.07000000007</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54698586.969999999</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285</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11047070.309999995</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652840.07000000007</v>
      </c>
      <c r="C53" s="17"/>
      <c r="D53" s="21" t="s">
        <v>85</v>
      </c>
      <c r="E53" s="22">
        <f>SUM(E48:E51)</f>
        <v>11047355.309999995</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65570165.269999996</v>
      </c>
      <c r="C56" s="17"/>
      <c r="D56" s="21" t="s">
        <v>87</v>
      </c>
      <c r="E56" s="22">
        <f>+E53+E45</f>
        <v>65745942.279999994</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-175777.00999999791</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X</v>
      </c>
      <c r="V2" s="32" t="str">
        <f>+IF(Parametres!$B$3=U$6,"O","")</f>
        <v>O</v>
      </c>
      <c r="W2" s="32" t="str">
        <f>+IF(Parametres!$B$3=U$6,"U","")</f>
        <v>U</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X</v>
      </c>
      <c r="V2" s="32" t="str">
        <f>+IF(Parametres!$B$3=U$6,"O","")</f>
        <v>O</v>
      </c>
      <c r="W2" s="32" t="str">
        <f>+IF(Parametres!$B$3=U$6,"U","")</f>
        <v>U</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Juin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77</v>
      </c>
      <c r="D4" s="155">
        <f>+Print_Mois!$D$13+Print_Mois!$D$15</f>
        <v>0</v>
      </c>
      <c r="E4" s="155">
        <f>+Print_Mois!$O$13+Print_Mois!$O$15</f>
        <v>0</v>
      </c>
      <c r="F4" s="156">
        <f t="shared" ref="F4:F15" si="0">+IFERROR($C4-D4,"")</f>
        <v>77</v>
      </c>
      <c r="G4" s="157">
        <f t="shared" ref="G4:G15" si="1">+IFERROR($C4-E4,"")</f>
        <v>77</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190300.10999999926</v>
      </c>
      <c r="D5" s="161">
        <f>+Print_Mois!$F$13+Print_Mois!$F$15</f>
        <v>0</v>
      </c>
      <c r="E5" s="161">
        <f>+Print_Mois!$Q$13+Print_Mois!$Q$15</f>
        <v>0</v>
      </c>
      <c r="F5" s="162">
        <f t="shared" si="0"/>
        <v>190300.10999999926</v>
      </c>
      <c r="G5" s="163">
        <f t="shared" si="1"/>
        <v>190300.10999999926</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2471.4299999999903</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72231.160000000033</v>
      </c>
      <c r="D7" s="161">
        <f>+Print_Mois!$F$31</f>
        <v>0</v>
      </c>
      <c r="E7" s="161">
        <f>+Print_Mois!$Q$31</f>
        <v>0</v>
      </c>
      <c r="F7" s="162">
        <f t="shared" si="0"/>
        <v>72231.160000000033</v>
      </c>
      <c r="G7" s="163">
        <f t="shared" si="1"/>
        <v>72231.160000000033</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0.37956446793436072</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55180.630000000005</v>
      </c>
      <c r="D9" s="161">
        <f>+Print_Mois!$F$24</f>
        <v>0</v>
      </c>
      <c r="E9" s="161">
        <f>+Print_Mois!$Q$24</f>
        <v>0</v>
      </c>
      <c r="F9" s="162">
        <f t="shared" si="0"/>
        <v>55180.630000000005</v>
      </c>
      <c r="G9" s="163">
        <f t="shared" si="1"/>
        <v>55180.630000000005</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716.63155844155847</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15438.959999999992</v>
      </c>
      <c r="D11" s="161">
        <f>+Print_Mois!$F$32</f>
        <v>0</v>
      </c>
      <c r="E11" s="161">
        <f>+Print_Mois!$Q$32</f>
        <v>0</v>
      </c>
      <c r="F11" s="162">
        <f t="shared" si="0"/>
        <v>15438.959999999992</v>
      </c>
      <c r="G11" s="163">
        <f t="shared" si="1"/>
        <v>15438.959999999992</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0.27978948409976456</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-219480.97999999995</v>
      </c>
      <c r="D13" s="161">
        <f>+Print_Mois!$F$41-D7-D11</f>
        <v>0</v>
      </c>
      <c r="E13" s="161">
        <f>+Print_Mois!$Q$41-E7-E11</f>
        <v>0</v>
      </c>
      <c r="F13" s="162">
        <f t="shared" si="0"/>
        <v>-219480.97999999995</v>
      </c>
      <c r="G13" s="163">
        <f t="shared" si="1"/>
        <v>-219480.97999999995</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-2850.4023376623372</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10883.369999999995</v>
      </c>
      <c r="D15" s="161">
        <f>+Print_Mois!$F$83</f>
        <v>0</v>
      </c>
      <c r="E15" s="161">
        <f>+Print_Mois!$Q$83</f>
        <v>0</v>
      </c>
      <c r="F15" s="162">
        <f t="shared" si="0"/>
        <v>10883.369999999995</v>
      </c>
      <c r="G15" s="163">
        <f t="shared" si="1"/>
        <v>10883.369999999995</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5</v>
      </c>
      <c r="D21" s="155">
        <f>+Print_Mois!$D$97</f>
        <v>0</v>
      </c>
      <c r="E21" s="155">
        <f>+Print_Mois!$O$97</f>
        <v>0</v>
      </c>
      <c r="F21" s="156">
        <f t="shared" ref="F21:F32" si="11">+IFERROR($C21-D21,"")</f>
        <v>5</v>
      </c>
      <c r="G21" s="157">
        <f t="shared" ref="G21:G32" si="12">+IFERROR($C21-E21,"")</f>
        <v>5</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-21375.719999999972</v>
      </c>
      <c r="D22" s="161">
        <f>+Print_Mois!$F$97</f>
        <v>0</v>
      </c>
      <c r="E22" s="161">
        <f>+Print_Mois!$Q$97</f>
        <v>0</v>
      </c>
      <c r="F22" s="162">
        <f t="shared" si="11"/>
        <v>-21375.719999999972</v>
      </c>
      <c r="G22" s="163">
        <f t="shared" si="12"/>
        <v>-21375.719999999972</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-4275.1439999999948</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2787.239999999998</v>
      </c>
      <c r="D24" s="161">
        <f>+Print_Mois!$F$113</f>
        <v>0</v>
      </c>
      <c r="E24" s="161">
        <f>+Print_Mois!$Q$113</f>
        <v>0</v>
      </c>
      <c r="F24" s="162">
        <f t="shared" si="11"/>
        <v>2787.239999999998</v>
      </c>
      <c r="G24" s="163">
        <f t="shared" si="12"/>
        <v>2787.239999999998</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-0.13039280080390281</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4060.4800000000005</v>
      </c>
      <c r="D26" s="161">
        <f>+Print_Mois!$F$106</f>
        <v>0</v>
      </c>
      <c r="E26" s="161">
        <f>+Print_Mois!$Q$106</f>
        <v>0</v>
      </c>
      <c r="F26" s="162">
        <f t="shared" si="11"/>
        <v>4060.4800000000005</v>
      </c>
      <c r="G26" s="163">
        <f t="shared" si="12"/>
        <v>4060.4800000000005</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812.09600000000012</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201.6200000000008</v>
      </c>
      <c r="D28" s="161">
        <f>+Print_Mois!$F$114</f>
        <v>0</v>
      </c>
      <c r="E28" s="161">
        <f>+Print_Mois!$Q$114</f>
        <v>0</v>
      </c>
      <c r="F28" s="162">
        <f t="shared" si="11"/>
        <v>201.6200000000008</v>
      </c>
      <c r="G28" s="163">
        <f t="shared" si="12"/>
        <v>201.6200000000008</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4.9654228071558233E-2</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27512.920000000006</v>
      </c>
      <c r="D30" s="161">
        <f>+Print_Mois!$F$123-D24-D28</f>
        <v>0</v>
      </c>
      <c r="E30" s="161">
        <f>+Print_Mois!$Q$123-E24-E28</f>
        <v>0</v>
      </c>
      <c r="F30" s="162">
        <f t="shared" si="11"/>
        <v>27512.920000000006</v>
      </c>
      <c r="G30" s="163">
        <f t="shared" si="12"/>
        <v>27512.920000000006</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5502.5840000000007</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258831.05000000005</v>
      </c>
      <c r="D38" s="195">
        <f>+Print_Mois!$E$268</f>
        <v>0</v>
      </c>
      <c r="E38" s="195">
        <f>+Print_Mois!$P$268</f>
        <v>0</v>
      </c>
      <c r="F38" s="196">
        <f t="shared" ref="F38:F47" si="22">+IFERROR($C38-D38,"")</f>
        <v>258831.05000000005</v>
      </c>
      <c r="G38" s="197">
        <f t="shared" ref="G38:G47" si="23">+IFERROR($C38-E38,"")</f>
        <v>258831.05000000005</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168478.07000000004</v>
      </c>
      <c r="D39" s="195">
        <f>+Print_Mois!$F$268</f>
        <v>0</v>
      </c>
      <c r="E39" s="195">
        <f>+Print_Mois!$Q$268</f>
        <v>0</v>
      </c>
      <c r="F39" s="196">
        <f t="shared" si="22"/>
        <v>168478.07000000004</v>
      </c>
      <c r="G39" s="197">
        <f t="shared" si="23"/>
        <v>168478.07000000004</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382.73200000000014</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139.23286472148544</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-3746.4000000000015</v>
      </c>
      <c r="D42" s="161">
        <f>+Print_Mois!$F$258</f>
        <v>0</v>
      </c>
      <c r="E42" s="161">
        <f>+Print_Mois!$Q$258</f>
        <v>0</v>
      </c>
      <c r="F42" s="162">
        <f t="shared" si="22"/>
        <v>-3746.4000000000015</v>
      </c>
      <c r="G42" s="163">
        <f t="shared" si="23"/>
        <v>-3746.4000000000015</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108750.01</v>
      </c>
      <c r="D43" s="161">
        <f>+Print_Mois!$F$284</f>
        <v>0</v>
      </c>
      <c r="E43" s="161">
        <f>+Print_Mois!$Q$284</f>
        <v>0</v>
      </c>
      <c r="F43" s="162">
        <f t="shared" si="22"/>
        <v>108750.01</v>
      </c>
      <c r="G43" s="163">
        <f t="shared" si="23"/>
        <v>108750.01</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62198.410000000011</v>
      </c>
      <c r="D44" s="161">
        <f>+SUM(Print_Mois!$F$272:$F$278)</f>
        <v>0</v>
      </c>
      <c r="E44" s="161">
        <f>+SUM(Print_Mois!$Q$272:$Q$278)</f>
        <v>0</v>
      </c>
      <c r="F44" s="162">
        <f t="shared" si="22"/>
        <v>62198.410000000011</v>
      </c>
      <c r="G44" s="163">
        <f t="shared" si="23"/>
        <v>62198.410000000011</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46551.599999999991</v>
      </c>
      <c r="D45" s="161">
        <f>+SUM(Print_Mois!$F$279:$F$283)</f>
        <v>0</v>
      </c>
      <c r="E45" s="161">
        <f>+SUM(Print_Mois!$Q$279:$Q$283)</f>
        <v>0</v>
      </c>
      <c r="F45" s="162">
        <f t="shared" si="22"/>
        <v>46551.599999999991</v>
      </c>
      <c r="G45" s="163">
        <f t="shared" si="23"/>
        <v>46551.599999999991</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0.42015828471893141</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-13474.449999999997</v>
      </c>
      <c r="D47" s="179">
        <f>+Print_Mois!$F$287</f>
        <v>0</v>
      </c>
      <c r="E47" s="179">
        <f>+Print_Mois!$Q$287</f>
        <v>0</v>
      </c>
      <c r="F47" s="180">
        <f t="shared" si="22"/>
        <v>-13474.449999999997</v>
      </c>
      <c r="G47" s="181">
        <f t="shared" si="23"/>
        <v>-13474.449999999997</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328695.40999999997</v>
      </c>
      <c r="D50" s="195">
        <f>+Print_Mois!$D$390</f>
        <v>0</v>
      </c>
      <c r="E50" s="195">
        <f>+Print_Mois!$O$390</f>
        <v>0</v>
      </c>
      <c r="F50" s="196">
        <f t="shared" ref="F50:F59" si="27">+IFERROR($C50-D50,"")</f>
        <v>328695.40999999997</v>
      </c>
      <c r="G50" s="197">
        <f t="shared" ref="G50:G59" si="28">+IFERROR($C50-E50,"")</f>
        <v>328695.40999999997</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50774.790000000037</v>
      </c>
      <c r="D51" s="161">
        <f>+Print_Mois!$D$371</f>
        <v>0</v>
      </c>
      <c r="E51" s="161">
        <f>+Print_Mois!$O$371</f>
        <v>0</v>
      </c>
      <c r="F51" s="162">
        <f t="shared" si="27"/>
        <v>50774.790000000037</v>
      </c>
      <c r="G51" s="163">
        <f t="shared" si="28"/>
        <v>50774.790000000037</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65686.729999999981</v>
      </c>
      <c r="D52" s="161">
        <f>+Print_Mois!$D$373</f>
        <v>0</v>
      </c>
      <c r="E52" s="161">
        <f>+Print_Mois!$O$373</f>
        <v>0</v>
      </c>
      <c r="F52" s="162">
        <f t="shared" si="27"/>
        <v>65686.729999999981</v>
      </c>
      <c r="G52" s="163">
        <f t="shared" si="28"/>
        <v>65686.729999999981</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125132.81999999995</v>
      </c>
      <c r="D53" s="161">
        <f>+Print_Mois!$D$376</f>
        <v>0</v>
      </c>
      <c r="E53" s="161">
        <f>+Print_Mois!$O$376</f>
        <v>0</v>
      </c>
      <c r="F53" s="162">
        <f t="shared" si="27"/>
        <v>125132.81999999995</v>
      </c>
      <c r="G53" s="163">
        <f t="shared" si="28"/>
        <v>125132.81999999995</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3313.4199999999983</v>
      </c>
      <c r="D54" s="161">
        <f>+Print_Mois!$D$383</f>
        <v>0</v>
      </c>
      <c r="E54" s="161">
        <f>+Print_Mois!$O$383</f>
        <v>0</v>
      </c>
      <c r="F54" s="162">
        <f t="shared" si="27"/>
        <v>3313.4199999999983</v>
      </c>
      <c r="G54" s="163">
        <f t="shared" si="28"/>
        <v>3313.4199999999983</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83787.650000000023</v>
      </c>
      <c r="D55" s="161">
        <f t="shared" si="31"/>
        <v>0</v>
      </c>
      <c r="E55" s="161">
        <f t="shared" si="31"/>
        <v>0</v>
      </c>
      <c r="F55" s="162">
        <f t="shared" si="27"/>
        <v>83787.650000000023</v>
      </c>
      <c r="G55" s="163">
        <f t="shared" si="28"/>
        <v>83787.650000000023</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84015.389999999941</v>
      </c>
      <c r="D56" s="195">
        <f>+Print_Mois!$F$390</f>
        <v>0</v>
      </c>
      <c r="E56" s="195">
        <f>+Print_Mois!$Q$390</f>
        <v>0</v>
      </c>
      <c r="F56" s="196">
        <f t="shared" si="27"/>
        <v>84015.389999999941</v>
      </c>
      <c r="G56" s="197">
        <f t="shared" si="28"/>
        <v>84015.389999999941</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241.78471428571447</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174.23535809018563</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18762.459999999992</v>
      </c>
      <c r="D59" s="179">
        <f>+Print_Mois!$F$396</f>
        <v>0</v>
      </c>
      <c r="E59" s="179">
        <f>+Print_Mois!$Q$396</f>
        <v>0</v>
      </c>
      <c r="F59" s="180">
        <f t="shared" si="27"/>
        <v>18762.459999999992</v>
      </c>
      <c r="G59" s="181">
        <f t="shared" si="28"/>
        <v>18762.459999999992</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0.61553761878677127</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-114241.07999999999</v>
      </c>
      <c r="D64" s="161">
        <f>+Print_Mois!$Z$501+Print_Mois!$Z$521</f>
        <v>0</v>
      </c>
      <c r="E64" s="161">
        <f>+Print_Mois!$AL$501+Print_Mois!$AL$521</f>
        <v>0</v>
      </c>
      <c r="F64" s="162">
        <f t="shared" si="32"/>
        <v>-114241.07999999999</v>
      </c>
      <c r="G64" s="163">
        <f t="shared" si="32"/>
        <v>-114241.07999999999</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102241.06999999998</v>
      </c>
      <c r="D65" s="161">
        <f>+Print_Mois!$Z$539-Print_Mois!$Z$521</f>
        <v>0</v>
      </c>
      <c r="E65" s="161">
        <f>+Print_Mois!$AL$539-Print_Mois!$AL$521</f>
        <v>0</v>
      </c>
      <c r="F65" s="162">
        <f t="shared" si="32"/>
        <v>102241.06999999998</v>
      </c>
      <c r="G65" s="163">
        <f t="shared" si="32"/>
        <v>102241.06999999998</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156480.43000000002</v>
      </c>
      <c r="D66" s="161">
        <f>+Print_Mois!$Z$502</f>
        <v>0</v>
      </c>
      <c r="E66" s="161">
        <f>+Print_Mois!$AL$502</f>
        <v>0</v>
      </c>
      <c r="F66" s="162">
        <f t="shared" si="32"/>
        <v>156480.43000000002</v>
      </c>
      <c r="G66" s="163">
        <f t="shared" si="32"/>
        <v>156480.43000000002</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96014.50999999998</v>
      </c>
      <c r="D67" s="179">
        <f>+Print_Mois!$Z$568-D32-D15</f>
        <v>0</v>
      </c>
      <c r="E67" s="179">
        <f>+Print_Mois!$AL$568-E32-E15</f>
        <v>0</v>
      </c>
      <c r="F67" s="180">
        <f t="shared" si="32"/>
        <v>96014.50999999998</v>
      </c>
      <c r="G67" s="181">
        <f t="shared" si="32"/>
        <v>96014.50999999998</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-236002.01999999993</v>
      </c>
      <c r="D70" s="161">
        <f>+Print_Mois!$Z$506-Print_Mois!$Z$502+Print_Mois!$Z$521+Print_Mois!$Z$522+Print_Mois!$Z$523</f>
        <v>0</v>
      </c>
      <c r="E70" s="161">
        <f>+Print_Mois!$AL$506-Print_Mois!$AL$502+Print_Mois!$AL$521+Print_Mois!$AL$522+Print_Mois!$AL$523</f>
        <v>0</v>
      </c>
      <c r="F70" s="220">
        <f t="shared" ref="F70:G77" si="35">+IFERROR($C70-D70,"")</f>
        <v>-236002.01999999993</v>
      </c>
      <c r="G70" s="221">
        <f t="shared" si="35"/>
        <v>-236002.01999999993</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-0.3002241395722976</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744955.17999999993</v>
      </c>
      <c r="D72" s="161">
        <f>+Print_Mois!$Z$553+Print_Mois!$Z$520+Print_Mois!$Z$524+Print_Mois!$Z$526+SUM(Print_Mois!$Z$527:$Z$535)+Print_Mois!$Z$525</f>
        <v>0</v>
      </c>
      <c r="E72" s="161">
        <f>+Print_Mois!$AL$553+Print_Mois!$AL$520+Print_Mois!$AL$524+Print_Mois!$AL$526+SUM(Print_Mois!$AL$527:$AL$535)+Print_Mois!$AL$525</f>
        <v>0</v>
      </c>
      <c r="F72" s="162">
        <f t="shared" si="35"/>
        <v>744955.17999999993</v>
      </c>
      <c r="G72" s="163">
        <f t="shared" si="35"/>
        <v>744955.17999999993</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0.94767632893746467</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384030.80999999406</v>
      </c>
      <c r="D74" s="195" t="e">
        <f>+Print_Mois!$Z$570+Print_Mois!$Z$502</f>
        <v>#REF!</v>
      </c>
      <c r="E74" s="195">
        <f>+Print_Mois!$AL$570+Print_Mois!$AL$502</f>
        <v>0</v>
      </c>
      <c r="F74" s="196" t="str">
        <f t="shared" si="35"/>
        <v/>
      </c>
      <c r="G74" s="197">
        <f t="shared" si="35"/>
        <v>384030.80999999406</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1.2629111477199046E-2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216764.14999999403</v>
      </c>
      <c r="D76" s="195" t="e">
        <f>+Print_Mois!$Z$585</f>
        <v>#REF!</v>
      </c>
      <c r="E76" s="195">
        <f>+Print_Mois!$AL$585</f>
        <v>0</v>
      </c>
      <c r="F76" s="196" t="str">
        <f t="shared" si="35"/>
        <v/>
      </c>
      <c r="G76" s="197">
        <f t="shared" si="35"/>
        <v>216764.14999999403</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7.1284348633649016E-3</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324505.80999999406</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240286.14999999403</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Juin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Juin 2025</v>
      </c>
      <c r="C87" s="671">
        <f>+C76</f>
        <v>216764.14999999403</v>
      </c>
      <c r="D87" s="662">
        <f>+Print_AAD!AF585</f>
        <v>2313125.3099999949</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Juin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Juin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Q573" zoomScale="80" zoomScaleNormal="80" workbookViewId="0">
      <selection activeCell="U486" sqref="U16:V48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Juin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18754134.820000004</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8346.9300000000512</v>
      </c>
      <c r="L6" s="266">
        <f>-SUMIFS(BV_Data_An_Cour!$AM:$AM,BV_Data_An_Cour!$AP:$AP,$B6,BV_Data_An_Cour!$AQ:$AQ,$C6,BV_Data_An_Cour!$AR:$AR,L$2)</f>
        <v>8346.9300000000512</v>
      </c>
      <c r="M6" s="245">
        <f t="shared" ref="M6:M12" si="1">J6-D6</f>
        <v>1</v>
      </c>
      <c r="N6" s="246">
        <f t="shared" ref="N6:N12" si="2">L6-F6</f>
        <v>8346.9300000000512</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1</v>
      </c>
      <c r="S6" s="266">
        <f>L6-Q6</f>
        <v>8346.9300000000512</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51</v>
      </c>
      <c r="K7" s="281">
        <f t="shared" si="0"/>
        <v>3175.1990196078223</v>
      </c>
      <c r="L7" s="266">
        <f>-SUMIFS(BV_Data_An_Cour!$AM:$AM,BV_Data_An_Cour!$AP:$AP,$B7,BV_Data_An_Cour!$AQ:$AQ,$C7,BV_Data_An_Cour!$AR:$AR,L$2)</f>
        <v>161935.14999999895</v>
      </c>
      <c r="M7" s="245">
        <f t="shared" si="1"/>
        <v>51</v>
      </c>
      <c r="N7" s="246">
        <f t="shared" si="2"/>
        <v>161935.14999999895</v>
      </c>
      <c r="O7" s="245">
        <f>SUMIFS(BV_Data_An_Prec!$AW:$AW,BV_Data_An_Prec!$AP:$AP,$B7,BV_Data_An_Prec!$AQ:$AQ,$C7,BV_Data_An_Prec!$AY:$AY,O$2)</f>
        <v>0</v>
      </c>
      <c r="P7" s="281">
        <f t="shared" si="3"/>
        <v>0</v>
      </c>
      <c r="Q7" s="266">
        <f>-SUMIFS(BV_Data_An_Prec!$AM:$AM,BV_Data_An_Prec!$AP:$AP,$B7,BV_Data_An_Prec!$AQ:$AQ,$C7,BV_Data_An_Prec!$AR:$AR,Q$2)</f>
        <v>0</v>
      </c>
      <c r="R7" s="245">
        <f>J7-O7</f>
        <v>51</v>
      </c>
      <c r="S7" s="266">
        <f>L7-Q7</f>
        <v>161935.14999999895</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25</v>
      </c>
      <c r="K9" s="281">
        <f t="shared" si="0"/>
        <v>800.72120000001041</v>
      </c>
      <c r="L9" s="266">
        <f>-SUMIFS(BV_Data_An_Cour!$AM:$AM,BV_Data_An_Cour!$AP:$AP,$B9,BV_Data_An_Cour!$AQ:$AQ,$C9,BV_Data_An_Cour!$AR:$AR,L$2)</f>
        <v>20018.030000000261</v>
      </c>
      <c r="M9" s="245">
        <f t="shared" si="1"/>
        <v>25</v>
      </c>
      <c r="N9" s="246">
        <f t="shared" si="2"/>
        <v>20018.030000000261</v>
      </c>
      <c r="O9" s="245">
        <f>SUMIFS(BV_Data_An_Prec!$AW:$AW,BV_Data_An_Prec!$AP:$AP,$B9,BV_Data_An_Prec!$AQ:$AQ,$C9,BV_Data_An_Prec!$AY:$AY,O$2)</f>
        <v>0</v>
      </c>
      <c r="P9" s="281">
        <f t="shared" si="3"/>
        <v>0</v>
      </c>
      <c r="Q9" s="266">
        <f>-SUMIFS(BV_Data_An_Prec!$AM:$AM,BV_Data_An_Prec!$AP:$AP,$B9,BV_Data_An_Prec!$AQ:$AQ,$C9,BV_Data_An_Prec!$AR:$AR,Q$2)</f>
        <v>0</v>
      </c>
      <c r="R9" s="245">
        <f>J9-O9</f>
        <v>25</v>
      </c>
      <c r="S9" s="266">
        <f t="shared" ref="S9:S12" si="5">L9-Q9</f>
        <v>20018.030000000261</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77</v>
      </c>
      <c r="K13" s="355">
        <f>IF(J13&lt;=0,0,L13/J13)</f>
        <v>2471.4299999999903</v>
      </c>
      <c r="L13" s="356">
        <f>+SUM(L6:L12)</f>
        <v>190300.10999999926</v>
      </c>
      <c r="M13" s="252">
        <f>+SUM(M6:M12)</f>
        <v>77</v>
      </c>
      <c r="N13" s="251">
        <f>+SUM(N6:N12)</f>
        <v>190300.10999999926</v>
      </c>
      <c r="O13" s="252">
        <f>+SUM(O6:O12)</f>
        <v>0</v>
      </c>
      <c r="P13" s="355">
        <f>IF(O13&lt;=0,0,Q13/O13)</f>
        <v>0</v>
      </c>
      <c r="Q13" s="356">
        <f>+SUM(Q6:Q12)</f>
        <v>0</v>
      </c>
      <c r="R13" s="252">
        <f>+SUM(R6:R12)</f>
        <v>77</v>
      </c>
      <c r="S13" s="356">
        <f>+SUM(S6:S12)</f>
        <v>190300.10999999926</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230</v>
      </c>
      <c r="K17" s="281">
        <f>IF(J17=0,0,L17/J17)</f>
        <v>576.99804347824795</v>
      </c>
      <c r="L17" s="266">
        <f>-SUMIFS(BV_Data_An_Cour!$AM:$AM,BV_Data_An_Cour!$AP:$AP,$B17,BV_Data_An_Cour!$AQ:$AQ,$C17,BV_Data_An_Cour!$AR:$AR,L$2)</f>
        <v>132709.54999999702</v>
      </c>
      <c r="M17" s="257">
        <f>J17-D17</f>
        <v>230</v>
      </c>
      <c r="N17" s="246">
        <f>L17-F17</f>
        <v>132709.54999999702</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230</v>
      </c>
      <c r="S17" s="266">
        <f>L17-Q17</f>
        <v>132709.54999999702</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6.3409090909090908</v>
      </c>
      <c r="L21" s="266">
        <f>-SUMIFS(BV_Data_An_Cour!$AM:$AM,BV_Data_An_Cour!$AP:$AP,$B21,BV_Data_An_Cour!$AQ:$AQ,$C21,BV_Data_An_Cour!$AR:$AR,L$2)</f>
        <v>488.25</v>
      </c>
      <c r="M21" s="245"/>
      <c r="N21" s="246">
        <f>L21-F21</f>
        <v>488.25</v>
      </c>
      <c r="O21" s="245"/>
      <c r="P21" s="281">
        <f>IF(O13=0,0,Q21/(O13+O15))</f>
        <v>0</v>
      </c>
      <c r="Q21" s="266">
        <f>-SUMIFS(BV_Data_An_Prec!$AM:$AM,BV_Data_An_Prec!$AP:$AP,$B21,BV_Data_An_Prec!$AQ:$AQ,$C21,BV_Data_An_Prec!$AR:$AR,Q$2)</f>
        <v>0</v>
      </c>
      <c r="R21" s="267">
        <f>P21-K21</f>
        <v>-6.3409090909090908</v>
      </c>
      <c r="S21" s="266">
        <f t="shared" ref="S21:S23" si="7">L21-Q21</f>
        <v>488.25</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636.3685714285715</v>
      </c>
      <c r="L22" s="266">
        <f>-SUMIFS(BV_Data_An_Cour!$AM:$AM,BV_Data_An_Cour!$AP:$AP,$B22,BV_Data_An_Cour!$AQ:$AQ,$C22,BV_Data_An_Cour!$AR:$AR,L$2)</f>
        <v>49000.380000000005</v>
      </c>
      <c r="M22" s="245"/>
      <c r="N22" s="246">
        <f>L22-F22</f>
        <v>49000.380000000005</v>
      </c>
      <c r="O22" s="245"/>
      <c r="P22" s="281">
        <f>IF(O13=0,0,Q22/(O13+O15))</f>
        <v>0</v>
      </c>
      <c r="Q22" s="266">
        <f>-SUMIFS(BV_Data_An_Prec!$AM:$AM,BV_Data_An_Prec!$AP:$AP,$B22,BV_Data_An_Prec!$AQ:$AQ,$C22,BV_Data_An_Prec!$AR:$AR,Q$2)</f>
        <v>0</v>
      </c>
      <c r="R22" s="267">
        <f t="shared" ref="R22:R23" si="8">P22-K22</f>
        <v>-636.3685714285715</v>
      </c>
      <c r="S22" s="266">
        <f t="shared" si="7"/>
        <v>49000.380000000005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73.922077922077918</v>
      </c>
      <c r="L23" s="266">
        <f>-SUMIFS(BV_Data_An_Cour!$AM:$AM,BV_Data_An_Cour!$AP:$AP,$B23,BV_Data_An_Cour!$AQ:$AQ,$C23,BV_Data_An_Cour!$AR:$AR,L$2)</f>
        <v>5692</v>
      </c>
      <c r="M23" s="257"/>
      <c r="N23" s="246">
        <f>L23-F23</f>
        <v>5692</v>
      </c>
      <c r="O23" s="245"/>
      <c r="P23" s="281">
        <f>IF(O13=0,0,Q23/(O13+O15))</f>
        <v>0</v>
      </c>
      <c r="Q23" s="266">
        <f>-SUMIFS(BV_Data_An_Prec!$AM:$AM,BV_Data_An_Prec!$AP:$AP,$B23,BV_Data_An_Prec!$AQ:$AQ,$C23,BV_Data_An_Prec!$AR:$AR,Q$2)</f>
        <v>0</v>
      </c>
      <c r="R23" s="267">
        <f t="shared" si="8"/>
        <v>-73.922077922077918</v>
      </c>
      <c r="S23" s="266">
        <f t="shared" si="7"/>
        <v>5692</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77</v>
      </c>
      <c r="K24" s="355">
        <f>IF(J24&lt;=0,0,L24/J24)</f>
        <v>716.63155844155847</v>
      </c>
      <c r="L24" s="356">
        <f>L21+L22+L23</f>
        <v>55180.630000000005</v>
      </c>
      <c r="M24" s="265">
        <f>J24-D24</f>
        <v>77</v>
      </c>
      <c r="N24" s="251">
        <f>L24-F24</f>
        <v>55180.630000000005</v>
      </c>
      <c r="O24" s="252">
        <f>+O15+O13</f>
        <v>0</v>
      </c>
      <c r="P24" s="355">
        <f>IF(O24&lt;=0,0,Q24/O24)</f>
        <v>0</v>
      </c>
      <c r="Q24" s="356">
        <f>Q21+Q22+Q23</f>
        <v>0</v>
      </c>
      <c r="R24" s="337">
        <f>P24-K24</f>
        <v>-716.63155844155847</v>
      </c>
      <c r="S24" s="356">
        <f>L24-Q24</f>
        <v>55180.630000000005</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307</v>
      </c>
      <c r="K27" s="269">
        <f>IF(J27&lt;=0,0,L27/J27)</f>
        <v>1231.8901954397274</v>
      </c>
      <c r="L27" s="271">
        <f>L13+L17+L24+L19+L15</f>
        <v>378190.28999999631</v>
      </c>
      <c r="M27" s="272">
        <f>J27-D27</f>
        <v>307</v>
      </c>
      <c r="N27" s="271">
        <f>L27-F27</f>
        <v>378190.28999999631</v>
      </c>
      <c r="O27" s="272">
        <f>+O13+O15+O17</f>
        <v>0</v>
      </c>
      <c r="P27" s="269">
        <f>IF(O27&lt;=0,0,Q27/O27)</f>
        <v>0</v>
      </c>
      <c r="Q27" s="271">
        <f>Q13+Q17+Q24+Q19+Q15</f>
        <v>0</v>
      </c>
      <c r="R27" s="272">
        <f>J27-O27</f>
        <v>307</v>
      </c>
      <c r="S27" s="271">
        <f>L27-Q27</f>
        <v>378190.28999999631</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0.22361919454669207</v>
      </c>
      <c r="K31" s="281">
        <f>IF(L31=0,0,L31/J$24)</f>
        <v>938.06701298701341</v>
      </c>
      <c r="L31" s="266">
        <f>SUMIFS(BV_Data_An_Cour!$AM:$AM,BV_Data_An_Cour!$AP:$AP,$B31,BV_Data_An_Cour!$AQ:$AQ,$C31,BV_Data_An_Cour!$AR:$AR,L$2)</f>
        <v>72231.160000000033</v>
      </c>
      <c r="M31" s="243"/>
      <c r="N31" s="266">
        <f t="shared" ref="N31:N53" si="10">L31-F31</f>
        <v>72231.160000000033</v>
      </c>
      <c r="O31" s="282" t="e">
        <f>Q31/(Q15+Q13+Q17)</f>
        <v>#DIV/0!</v>
      </c>
      <c r="P31" s="281">
        <f>IF(Q31=0,0,Q31/O$24)</f>
        <v>0</v>
      </c>
      <c r="Q31" s="266">
        <f>SUMIFS(BV_Data_An_Prec!$AM:$AM,BV_Data_An_Prec!$AP:$AP,$B31,BV_Data_An_Prec!$AQ:$AQ,$C31,BV_Data_An_Prec!$AR:$AR,Q$2)</f>
        <v>0</v>
      </c>
      <c r="R31" s="243"/>
      <c r="S31" s="266">
        <f>L31-Q31</f>
        <v>72231.160000000033</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0.27978948409976456</v>
      </c>
      <c r="K32" s="284">
        <f t="shared" ref="K32:K39" si="11">IF(L32=0,0,L32/J$24)</f>
        <v>200.50597402597393</v>
      </c>
      <c r="L32" s="266">
        <f>SUMIFS(BV_Data_An_Cour!$AM:$AM,BV_Data_An_Cour!$AP:$AP,$B32,BV_Data_An_Cour!$AQ:$AQ,$C32,BV_Data_An_Cour!$AR:$AR,L$2)</f>
        <v>15438.959999999992</v>
      </c>
      <c r="M32" s="238"/>
      <c r="N32" s="286">
        <f t="shared" si="10"/>
        <v>15438.959999999992</v>
      </c>
      <c r="O32" s="285" t="e">
        <f>Q32/Q24</f>
        <v>#DIV/0!</v>
      </c>
      <c r="P32" s="284">
        <f t="shared" ref="P32:P39" si="12">IF(Q32=0,0,Q32/O$24)</f>
        <v>0</v>
      </c>
      <c r="Q32" s="286">
        <f>SUMIFS(BV_Data_An_Prec!$AM:$AM,BV_Data_An_Prec!$AP:$AP,$B32,BV_Data_An_Prec!$AQ:$AQ,$C32,BV_Data_An_Prec!$AR:$AR,Q$2)</f>
        <v>0</v>
      </c>
      <c r="R32" s="238"/>
      <c r="S32" s="286">
        <f t="shared" ref="S32:S39" si="13">L32-Q32</f>
        <v>15438.959999999992</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-69.217012987012993</v>
      </c>
      <c r="L33" s="954">
        <f>SUMIFS(BV_Data_An_Cour!$AM:$AM,BV_Data_An_Cour!$AP:$AP,$B33,BV_Data_An_Cour!$AQ:$AQ,$C33,BV_Data_An_Cour!$AR:$AR,L$2)</f>
        <v>-5329.71</v>
      </c>
      <c r="M33" s="243"/>
      <c r="N33" s="266">
        <f t="shared" si="10"/>
        <v>-5329.71</v>
      </c>
      <c r="O33" s="243"/>
      <c r="P33" s="281">
        <f t="shared" si="12"/>
        <v>0</v>
      </c>
      <c r="Q33" s="266">
        <f>SUMIFS(BV_Data_An_Prec!$AM:$AM,BV_Data_An_Prec!$AP:$AP,$B33,BV_Data_An_Prec!$AQ:$AQ,$C33,BV_Data_An_Prec!$AR:$AR,Q$2)</f>
        <v>0</v>
      </c>
      <c r="R33" s="243"/>
      <c r="S33" s="266">
        <f t="shared" si="13"/>
        <v>-5329.71</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1.1684415584415617</v>
      </c>
      <c r="L34" s="266">
        <f>SUMIFS(BV_Data_An_Cour!$AM:$AM,BV_Data_An_Cour!$AP:$AP,$B34,BV_Data_An_Cour!$AQ:$AQ,$C34,BV_Data_An_Cour!$AR:$AR,L$2)</f>
        <v>89.970000000000255</v>
      </c>
      <c r="M34" s="243"/>
      <c r="N34" s="266">
        <f t="shared" si="10"/>
        <v>89.970000000000255</v>
      </c>
      <c r="O34" s="243"/>
      <c r="P34" s="281">
        <f t="shared" si="12"/>
        <v>0</v>
      </c>
      <c r="Q34" s="266">
        <f>SUMIFS(BV_Data_An_Prec!$AM:$AM,BV_Data_An_Prec!$AP:$AP,$B34,BV_Data_An_Prec!$AQ:$AQ,$C34,BV_Data_An_Prec!$AR:$AR,Q$2)</f>
        <v>0</v>
      </c>
      <c r="R34" s="243"/>
      <c r="S34" s="266">
        <f t="shared" si="13"/>
        <v>89.970000000000255</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-1531.0558441558439</v>
      </c>
      <c r="L36" s="954">
        <f>SUMIFS(BV_Data_An_Cour!$AM:$AM,BV_Data_An_Cour!$AP:$AP,$B36,BV_Data_An_Cour!$AQ:$AQ,$C36,BV_Data_An_Cour!$AR:$AR,L$2)</f>
        <v>-117891.29999999999</v>
      </c>
      <c r="M36" s="243"/>
      <c r="N36" s="266">
        <f t="shared" si="10"/>
        <v>-117891.29999999999</v>
      </c>
      <c r="O36" s="243"/>
      <c r="P36" s="281">
        <f t="shared" si="12"/>
        <v>0</v>
      </c>
      <c r="Q36" s="266">
        <f>SUMIFS(BV_Data_An_Prec!$AM:$AM,BV_Data_An_Prec!$AP:$AP,$B36,BV_Data_An_Prec!$AQ:$AQ,$C36,BV_Data_An_Prec!$AR:$AR,Q$2)</f>
        <v>0</v>
      </c>
      <c r="R36" s="243"/>
      <c r="S36" s="266">
        <f t="shared" si="13"/>
        <v>-117891.29999999999</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1445.6687012987011</v>
      </c>
      <c r="L37" s="266">
        <f>SUMIFS(BV_Data_An_Cour!$AM:$AM,BV_Data_An_Cour!$AP:$AP,$B37,BV_Data_An_Cour!$AQ:$AQ,$C37,BV_Data_An_Cour!$AR:$AR,L$2)</f>
        <v>111316.48999999999</v>
      </c>
      <c r="M37" s="243"/>
      <c r="N37" s="658">
        <f t="shared" si="10"/>
        <v>111316.48999999999</v>
      </c>
      <c r="O37" s="243"/>
      <c r="P37" s="281">
        <f t="shared" si="12"/>
        <v>0</v>
      </c>
      <c r="Q37" s="266">
        <f>SUMIFS(BV_Data_An_Prec!$AM:$AM,BV_Data_An_Prec!$AP:$AP,$B37,BV_Data_An_Prec!$AQ:$AQ,$C37,BV_Data_An_Prec!$AR:$AR,Q$2)</f>
        <v>0</v>
      </c>
      <c r="R37" s="243"/>
      <c r="S37" s="266">
        <f t="shared" si="13"/>
        <v>111316.48999999999</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-2696.9666233766225</v>
      </c>
      <c r="L38" s="266">
        <f>SUMIFS(BV_Data_An_Cour!$AM:$AM,BV_Data_An_Cour!$AP:$AP,$B38,BV_Data_An_Cour!$AQ:$AQ,$C38,BV_Data_An_Cour!$AR:$AR,L$2)</f>
        <v>-207666.42999999993</v>
      </c>
      <c r="M38" s="38"/>
      <c r="N38" s="266">
        <f t="shared" si="10"/>
        <v>-207666.42999999993</v>
      </c>
      <c r="O38" s="243"/>
      <c r="P38" s="281">
        <f t="shared" si="12"/>
        <v>0</v>
      </c>
      <c r="Q38" s="266">
        <f>SUMIFS(BV_Data_An_Prec!$AM:$AM,BV_Data_An_Prec!$AP:$AP,$B38,BV_Data_An_Prec!$AQ:$AQ,$C38,BV_Data_An_Prec!$AR:$AR,Q$2)</f>
        <v>0</v>
      </c>
      <c r="R38" s="243"/>
      <c r="S38" s="266">
        <f t="shared" si="13"/>
        <v>-207666.42999999993</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-0.34853052414434332</v>
      </c>
      <c r="L41" s="294">
        <f>SUM(L31:L40)</f>
        <v>-131810.85999999993</v>
      </c>
      <c r="M41" s="296"/>
      <c r="N41" s="294">
        <f t="shared" si="10"/>
        <v>-131810.85999999993</v>
      </c>
      <c r="O41" s="295" t="s">
        <v>115</v>
      </c>
      <c r="P41" s="293" t="e">
        <f>Q41/Q$27</f>
        <v>#DIV/0!</v>
      </c>
      <c r="Q41" s="294">
        <f>SUM(Q31:Q40)</f>
        <v>0</v>
      </c>
      <c r="R41" s="297"/>
      <c r="S41" s="294">
        <f t="shared" si="16"/>
        <v>-131810.85999999993</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15314.929999999993</v>
      </c>
      <c r="M42" s="243"/>
      <c r="N42" s="266">
        <f t="shared" si="10"/>
        <v>15314.929999999993</v>
      </c>
      <c r="O42" s="243"/>
      <c r="P42" s="38"/>
      <c r="Q42" s="281">
        <f>SUMIFS(BV_Data_An_Prec!$AM:$AM,BV_Data_An_Prec!$AP:$AP,$B42,BV_Data_An_Prec!$AQ:$AQ,$C42,BV_Data_An_Prec!$AR:$AR,Q$2)</f>
        <v>0</v>
      </c>
      <c r="R42" s="243"/>
      <c r="S42" s="266">
        <f t="shared" si="16"/>
        <v>15314.929999999993</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28653.08</v>
      </c>
      <c r="M43" s="243"/>
      <c r="N43" s="266">
        <f t="shared" si="10"/>
        <v>28653.08</v>
      </c>
      <c r="O43" s="243"/>
      <c r="P43" s="38"/>
      <c r="Q43" s="286">
        <f>SUMIFS(BV_Data_An_Prec!$AM:$AM,BV_Data_An_Prec!$AP:$AP,$B43,BV_Data_An_Prec!$AQ:$AQ,$C43,BV_Data_An_Prec!$AR:$AR,Q$2)</f>
        <v>0</v>
      </c>
      <c r="R43" s="243"/>
      <c r="S43" s="266">
        <f t="shared" si="16"/>
        <v>28653.08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512</v>
      </c>
      <c r="M44" s="233"/>
      <c r="N44" s="303">
        <f t="shared" si="10"/>
        <v>512</v>
      </c>
      <c r="O44" s="233"/>
      <c r="P44" s="301"/>
      <c r="Q44" s="281">
        <f>SUMIFS(BV_Data_An_Prec!$AM:$AM,BV_Data_An_Prec!$AP:$AP,$B44,BV_Data_An_Prec!$AQ:$AQ,$C44,BV_Data_An_Prec!$AR:$AR,Q$2)</f>
        <v>0</v>
      </c>
      <c r="R44" s="233"/>
      <c r="S44" s="303">
        <f t="shared" si="16"/>
        <v>512</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16033.969999999994</v>
      </c>
      <c r="M49" s="243"/>
      <c r="N49" s="266">
        <f t="shared" si="10"/>
        <v>16033.969999999994</v>
      </c>
      <c r="O49" s="243"/>
      <c r="P49" s="38"/>
      <c r="Q49" s="286">
        <f>SUMIFS(BV_Data_An_Prec!$AM:$AM,BV_Data_An_Prec!$AP:$AP,$B49,BV_Data_An_Prec!$AQ:$AQ,$C49,BV_Data_An_Prec!$AR:$AR,Q$2)</f>
        <v>0</v>
      </c>
      <c r="R49" s="243"/>
      <c r="S49" s="266">
        <f t="shared" si="16"/>
        <v>16033.969999999994</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20776.449999999997</v>
      </c>
      <c r="M50" s="233"/>
      <c r="N50" s="303">
        <f t="shared" si="10"/>
        <v>20776.449999999997</v>
      </c>
      <c r="O50" s="233"/>
      <c r="P50" s="301"/>
      <c r="Q50" s="281">
        <f>SUMIFS(BV_Data_An_Prec!$AM:$AM,BV_Data_An_Prec!$AP:$AP,$B50,BV_Data_An_Prec!$AQ:$AQ,$C50,BV_Data_An_Prec!$AR:$AR,Q$2)</f>
        <v>0</v>
      </c>
      <c r="R50" s="233"/>
      <c r="S50" s="303">
        <f t="shared" si="16"/>
        <v>20776.449999999997</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5144.7200000000012</v>
      </c>
      <c r="M51" s="243"/>
      <c r="N51" s="266">
        <f t="shared" si="10"/>
        <v>5144.7200000000012</v>
      </c>
      <c r="O51" s="243"/>
      <c r="P51" s="38"/>
      <c r="Q51" s="281">
        <f>SUMIFS(BV_Data_An_Prec!$AM:$AM,BV_Data_An_Prec!$AP:$AP,$B51,BV_Data_An_Prec!$AQ:$AQ,$C51,BV_Data_An_Prec!$AR:$AR,Q$2)</f>
        <v>0</v>
      </c>
      <c r="R51" s="243"/>
      <c r="S51" s="266">
        <f t="shared" si="16"/>
        <v>5144.7200000000012</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22.409999999999968</v>
      </c>
      <c r="M52" s="243"/>
      <c r="N52" s="266">
        <f t="shared" si="10"/>
        <v>22.409999999999968</v>
      </c>
      <c r="O52" s="243"/>
      <c r="P52" s="38"/>
      <c r="Q52" s="281">
        <f>SUMIFS(BV_Data_An_Prec!$AM:$AM,BV_Data_An_Prec!$AP:$AP,$B52,BV_Data_An_Prec!$AQ:$AQ,$C52,BV_Data_An_Prec!$AR:$AR,Q$2)</f>
        <v>0</v>
      </c>
      <c r="R52" s="243"/>
      <c r="S52" s="266">
        <f t="shared" si="16"/>
        <v>22.409999999999968</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0.22860861922182307</v>
      </c>
      <c r="L54" s="294">
        <f>+SUM(L42:L53)</f>
        <v>86457.56</v>
      </c>
      <c r="M54" s="296"/>
      <c r="N54" s="294">
        <f>+SUM(N42:N53)</f>
        <v>86457.56</v>
      </c>
      <c r="O54" s="295" t="s">
        <v>115</v>
      </c>
      <c r="P54" s="293" t="e">
        <f>Q54/Q$27</f>
        <v>#DIV/0!</v>
      </c>
      <c r="Q54" s="294">
        <f>+SUM(Q42:Q53)</f>
        <v>0</v>
      </c>
      <c r="R54" s="297"/>
      <c r="S54" s="294">
        <f>+SUM(S42:S53)</f>
        <v>86457.56</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10868.730000000003</v>
      </c>
      <c r="M57" s="238"/>
      <c r="N57" s="286">
        <f t="shared" si="17"/>
        <v>10868.730000000003</v>
      </c>
      <c r="O57" s="238"/>
      <c r="P57" s="304"/>
      <c r="Q57" s="286">
        <f>SUMIFS(BV_Data_An_Prec!$AM:$AM,BV_Data_An_Prec!$AP:$AP,$B57,BV_Data_An_Prec!$AQ:$AQ,$C57,BV_Data_An_Prec!$AR:$AR,Q$2)</f>
        <v>0</v>
      </c>
      <c r="R57" s="238"/>
      <c r="S57" s="286">
        <f t="shared" si="18"/>
        <v>10868.730000000003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4324.2800000000025</v>
      </c>
      <c r="M58" s="243"/>
      <c r="N58" s="266">
        <f t="shared" si="17"/>
        <v>4324.2800000000025</v>
      </c>
      <c r="O58" s="243"/>
      <c r="P58" s="38"/>
      <c r="Q58" s="266">
        <f>SUMIFS(BV_Data_An_Prec!$AM:$AM,BV_Data_An_Prec!$AP:$AP,$B58,BV_Data_An_Prec!$AQ:$AQ,$C58,BV_Data_An_Prec!$AR:$AR,Q$2)</f>
        <v>0</v>
      </c>
      <c r="R58" s="243"/>
      <c r="S58" s="266">
        <f t="shared" si="18"/>
        <v>4324.2800000000025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1338.3600000000001</v>
      </c>
      <c r="M59" s="243"/>
      <c r="N59" s="266">
        <f t="shared" si="17"/>
        <v>1338.3600000000001</v>
      </c>
      <c r="O59" s="243"/>
      <c r="P59" s="38"/>
      <c r="Q59" s="266">
        <f>SUMIFS(BV_Data_An_Prec!$AM:$AM,BV_Data_An_Prec!$AP:$AP,$B59,BV_Data_An_Prec!$AQ:$AQ,$C59,BV_Data_An_Prec!$AR:$AR,Q$2)</f>
        <v>0</v>
      </c>
      <c r="R59" s="243"/>
      <c r="S59" s="266">
        <f t="shared" si="18"/>
        <v>1338.3600000000001</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8215.5500000000011</v>
      </c>
      <c r="M60" s="238"/>
      <c r="N60" s="286">
        <f t="shared" si="17"/>
        <v>8215.5500000000011</v>
      </c>
      <c r="O60" s="238"/>
      <c r="P60" s="304"/>
      <c r="Q60" s="286">
        <f>SUMIFS(BV_Data_An_Prec!$AM:$AM,BV_Data_An_Prec!$AP:$AP,$B60,BV_Data_An_Prec!$AQ:$AQ,$C60,BV_Data_An_Prec!$AR:$AR,Q$2)</f>
        <v>0</v>
      </c>
      <c r="R60" s="238"/>
      <c r="S60" s="286">
        <f t="shared" si="18"/>
        <v>8215.5500000000011</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1499.5699999999997</v>
      </c>
      <c r="M61" s="243"/>
      <c r="N61" s="266">
        <f t="shared" si="17"/>
        <v>1499.5699999999997</v>
      </c>
      <c r="O61" s="243"/>
      <c r="P61" s="38"/>
      <c r="Q61" s="266">
        <f>SUMIFS(BV_Data_An_Prec!$AM:$AM,BV_Data_An_Prec!$AP:$AP,$B61,BV_Data_An_Prec!$AQ:$AQ,$C61,BV_Data_An_Prec!$AR:$AR,Q$2)</f>
        <v>0</v>
      </c>
      <c r="R61" s="243"/>
      <c r="S61" s="266">
        <f t="shared" si="18"/>
        <v>1499.5699999999997</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3089.1000000000004</v>
      </c>
      <c r="M63" s="243"/>
      <c r="N63" s="266">
        <f t="shared" si="17"/>
        <v>3089.1000000000004</v>
      </c>
      <c r="O63" s="243"/>
      <c r="P63" s="38"/>
      <c r="Q63" s="266">
        <f>SUMIFS(BV_Data_An_Prec!$AM:$AM,BV_Data_An_Prec!$AP:$AP,$B63,BV_Data_An_Prec!$AQ:$AQ,$C63,BV_Data_An_Prec!$AR:$AR,Q$2)</f>
        <v>0</v>
      </c>
      <c r="R63" s="243"/>
      <c r="S63" s="266">
        <f t="shared" si="18"/>
        <v>3089.1000000000004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1054.0499999999993</v>
      </c>
      <c r="M64" s="243"/>
      <c r="N64" s="266">
        <f t="shared" si="17"/>
        <v>1054.0499999999993</v>
      </c>
      <c r="O64" s="243"/>
      <c r="P64" s="38"/>
      <c r="Q64" s="266">
        <f>SUMIFS(BV_Data_An_Prec!$AM:$AM,BV_Data_An_Prec!$AP:$AP,$B64,BV_Data_An_Prec!$AQ:$AQ,$C64,BV_Data_An_Prec!$AR:$AR,Q$2)</f>
        <v>0</v>
      </c>
      <c r="R64" s="243"/>
      <c r="S64" s="266">
        <f t="shared" si="18"/>
        <v>1054.0499999999993</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1264.19</v>
      </c>
      <c r="M65" s="243"/>
      <c r="N65" s="266">
        <f t="shared" si="17"/>
        <v>1264.19</v>
      </c>
      <c r="O65" s="243"/>
      <c r="P65" s="38"/>
      <c r="Q65" s="266">
        <f>SUMIFS(BV_Data_An_Prec!$AM:$AM,BV_Data_An_Prec!$AP:$AP,$B65,BV_Data_An_Prec!$AQ:$AQ,$C65,BV_Data_An_Prec!$AR:$AR,Q$2)</f>
        <v>0</v>
      </c>
      <c r="R65" s="243"/>
      <c r="S65" s="266">
        <f t="shared" si="18"/>
        <v>1264.19</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9429.2899999999991</v>
      </c>
      <c r="M66" s="243"/>
      <c r="N66" s="266">
        <f t="shared" si="17"/>
        <v>9429.2899999999991</v>
      </c>
      <c r="O66" s="243"/>
      <c r="P66" s="38"/>
      <c r="Q66" s="266">
        <f>SUMIFS(BV_Data_An_Prec!$AM:$AM,BV_Data_An_Prec!$AP:$AP,$B66,BV_Data_An_Prec!$AQ:$AQ,$C66,BV_Data_An_Prec!$AR:$AR,Q$2)</f>
        <v>0</v>
      </c>
      <c r="R66" s="243"/>
      <c r="S66" s="266">
        <f t="shared" si="18"/>
        <v>9429.2899999999991</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665.02999999999975</v>
      </c>
      <c r="M67" s="243"/>
      <c r="N67" s="266">
        <f t="shared" si="17"/>
        <v>665.02999999999975</v>
      </c>
      <c r="O67" s="243"/>
      <c r="P67" s="38"/>
      <c r="Q67" s="266">
        <f>SUMIFS(BV_Data_An_Prec!$AM:$AM,BV_Data_An_Prec!$AP:$AP,$B67,BV_Data_An_Prec!$AQ:$AQ,$C67,BV_Data_An_Prec!$AR:$AR,Q$2)</f>
        <v>0</v>
      </c>
      <c r="R67" s="243"/>
      <c r="S67" s="266">
        <f t="shared" si="18"/>
        <v>665.02999999999975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278.29000000000019</v>
      </c>
      <c r="M68" s="243"/>
      <c r="N68" s="658">
        <f t="shared" si="17"/>
        <v>278.29000000000019</v>
      </c>
      <c r="O68" s="243"/>
      <c r="P68" s="38"/>
      <c r="Q68" s="266">
        <f>SUMIFS(BV_Data_An_Prec!$AM:$AM,BV_Data_An_Prec!$AP:$AP,$B68,BV_Data_An_Prec!$AQ:$AQ,$C68,BV_Data_An_Prec!$AR:$AR,Q$2)</f>
        <v>0</v>
      </c>
      <c r="R68" s="243"/>
      <c r="S68" s="266">
        <f t="shared" si="18"/>
        <v>278.29000000000019</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0.11112511640634774</v>
      </c>
      <c r="L72" s="294">
        <f>+SUM(L55:L71)</f>
        <v>42026.44</v>
      </c>
      <c r="M72" s="296"/>
      <c r="N72" s="294">
        <f>+SUM(N55:N71)</f>
        <v>42026.44</v>
      </c>
      <c r="O72" s="295" t="s">
        <v>115</v>
      </c>
      <c r="P72" s="293" t="e">
        <f>Q72/Q$27</f>
        <v>#DIV/0!</v>
      </c>
      <c r="Q72" s="294">
        <f>+SUM(Q55:Q71)</f>
        <v>0</v>
      </c>
      <c r="R72" s="297"/>
      <c r="S72" s="294">
        <f>+SUM(S55:S71)</f>
        <v>42026.44</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-8.7967885161725334E-3</v>
      </c>
      <c r="L74" s="294">
        <f>L41+L54+L72</f>
        <v>-3326.8599999999278</v>
      </c>
      <c r="M74" s="296"/>
      <c r="N74" s="294">
        <f t="shared" ref="N74:N82" si="19">L74-F74</f>
        <v>-3326.8599999999278</v>
      </c>
      <c r="O74" s="295" t="s">
        <v>115</v>
      </c>
      <c r="P74" s="293" t="e">
        <f>Q74/Q$27</f>
        <v>#DIV/0!</v>
      </c>
      <c r="Q74" s="294">
        <f>Q41+Q54+Q72</f>
        <v>0</v>
      </c>
      <c r="R74" s="297"/>
      <c r="S74" s="294">
        <f>L74-Q74</f>
        <v>-3326.8599999999278</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10883.369999999995</v>
      </c>
      <c r="M75" s="243"/>
      <c r="N75" s="266">
        <f t="shared" si="19"/>
        <v>10883.369999999995</v>
      </c>
      <c r="O75" s="243"/>
      <c r="P75" s="38"/>
      <c r="Q75" s="266">
        <f>-SUMIFS(BV_Data_An_Prec!$AM:$AM,BV_Data_An_Prec!$AP:$AP,$B75,BV_Data_An_Prec!$AQ:$AQ,$C75,BV_Data_An_Prec!$AR:$AR,Q$2)-Q157</f>
        <v>0</v>
      </c>
      <c r="R75" s="243"/>
      <c r="S75" s="266">
        <f t="shared" ref="S75:S82" si="20">L75-Q75</f>
        <v>10883.369999999995</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10883.369999999995</v>
      </c>
      <c r="M83" s="296"/>
      <c r="N83" s="294">
        <f>+SUM(N75:N82)</f>
        <v>10883.369999999995</v>
      </c>
      <c r="O83" s="295"/>
      <c r="P83" s="293"/>
      <c r="Q83" s="294">
        <f>+SUM(Q75:Q82)</f>
        <v>0</v>
      </c>
      <c r="R83" s="297"/>
      <c r="S83" s="294">
        <f>+SUM(S75:S82)</f>
        <v>10883.369999999995</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392400.51999999624</v>
      </c>
      <c r="M85" s="960"/>
      <c r="N85" s="958">
        <f>N27-N41-N54-N72+N83</f>
        <v>392400.51999999624</v>
      </c>
      <c r="O85" s="959"/>
      <c r="P85" s="957"/>
      <c r="Q85" s="958">
        <f>Q27-Q74+Q83</f>
        <v>0</v>
      </c>
      <c r="R85" s="961"/>
      <c r="S85" s="958">
        <f>S27-S41-S54-S72+S83</f>
        <v>392400.51999999624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Juin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3841838.1699999995</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5</v>
      </c>
      <c r="K95" s="281">
        <f t="shared" si="21"/>
        <v>-4275.1439999999948</v>
      </c>
      <c r="L95" s="266">
        <f>-SUMIFS(BV_Data_An_Cour!$AM:$AM,BV_Data_An_Cour!$AP:$AP,$B95,BV_Data_An_Cour!$AQ:$AQ,$C95,BV_Data_An_Cour!$AR:$AR,$L2)</f>
        <v>-21375.719999999972</v>
      </c>
      <c r="M95" s="245">
        <f>J95-D95</f>
        <v>5</v>
      </c>
      <c r="N95" s="246">
        <f>L95-F95</f>
        <v>-21375.719999999972</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5</v>
      </c>
      <c r="S95" s="266">
        <f t="shared" si="24"/>
        <v>-21375.719999999972</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5</v>
      </c>
      <c r="K97" s="305">
        <f>IF(J97&lt;=0,0,L97/J97)</f>
        <v>-4275.1439999999948</v>
      </c>
      <c r="L97" s="356">
        <f>+L94+L95+L96</f>
        <v>-21375.719999999972</v>
      </c>
      <c r="M97" s="252">
        <f>J97-D97</f>
        <v>5</v>
      </c>
      <c r="N97" s="251">
        <f>L97-F97</f>
        <v>-21375.719999999972</v>
      </c>
      <c r="O97" s="250">
        <f>+O94+O95+O96</f>
        <v>0</v>
      </c>
      <c r="P97" s="305">
        <f>IF(O97&lt;=0,0,Q97/O97)</f>
        <v>0</v>
      </c>
      <c r="Q97" s="356">
        <f>+Q94+Q95+Q96</f>
        <v>0</v>
      </c>
      <c r="R97" s="252">
        <f>R94+R95</f>
        <v>5</v>
      </c>
      <c r="S97" s="356">
        <f>S94+S95</f>
        <v>-21375.719999999972</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79</v>
      </c>
      <c r="K101" s="281">
        <f>IF(J101=0,0,L101/J101)</f>
        <v>-77.934177215211093</v>
      </c>
      <c r="L101" s="266">
        <f>-SUMIFS(BV_Data_An_Cour!$AM:$AM,BV_Data_An_Cour!$AP:$AP,$B101,BV_Data_An_Cour!$AQ:$AQ,$C101,BV_Data_An_Cour!$AR:$AR,L$2)</f>
        <v>-6156.8000000016764</v>
      </c>
      <c r="M101" s="245">
        <f>J101-D101</f>
        <v>79</v>
      </c>
      <c r="N101" s="246">
        <f>L101-F101</f>
        <v>-6156.8000000016764</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79</v>
      </c>
      <c r="S101" s="266">
        <f>L101-Q101</f>
        <v>-6156.8000000016764</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812.09600000000012</v>
      </c>
      <c r="L103" s="266">
        <f>-SUMIFS(BV_Data_An_Cour!$AM:$AM,BV_Data_An_Cour!$AP:$AP,$B103,BV_Data_An_Cour!$AQ:$AQ,$C103,BV_Data_An_Cour!$AR:$AR,$L2)</f>
        <v>4060.4800000000005</v>
      </c>
      <c r="M103" s="245"/>
      <c r="N103" s="246">
        <f>L103-F103</f>
        <v>4060.4800000000005</v>
      </c>
      <c r="O103" s="245"/>
      <c r="P103" s="281">
        <f>IF(O97=0,0,Q103/O97)</f>
        <v>0</v>
      </c>
      <c r="Q103" s="266">
        <f>-SUMIFS(BV_Data_An_Prec!$AM:$AM,BV_Data_An_Prec!$AP:$AP,$B103,BV_Data_An_Prec!$AQ:$AQ,$C103,BV_Data_An_Prec!$AR:$AR,$L2)</f>
        <v>0</v>
      </c>
      <c r="R103" s="267">
        <f>P103-K103</f>
        <v>-812.09600000000012</v>
      </c>
      <c r="S103" s="266">
        <f t="shared" ref="S103:S105" si="29">L103-Q103</f>
        <v>4060.4800000000005</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0</v>
      </c>
      <c r="L104" s="266">
        <f>-SUMIFS(BV_Data_An_Cour!$AM:$AM,BV_Data_An_Cour!$AP:$AP,$B104,BV_Data_An_Cour!$AQ:$AQ,$C104,BV_Data_An_Cour!$AR:$AR,$L2)</f>
        <v>0</v>
      </c>
      <c r="M104" s="245"/>
      <c r="N104" s="246">
        <f>L104-F104</f>
        <v>0</v>
      </c>
      <c r="O104" s="245"/>
      <c r="P104" s="281">
        <f>IF(O97=0,0,Q104/O97)</f>
        <v>0</v>
      </c>
      <c r="Q104" s="266">
        <f>-SUMIFS(BV_Data_An_Prec!$AM:$AM,BV_Data_An_Prec!$AP:$AP,$B104,BV_Data_An_Prec!$AQ:$AQ,$C104,BV_Data_An_Prec!$AR:$AR,$L2)</f>
        <v>0</v>
      </c>
      <c r="R104" s="267">
        <f t="shared" ref="R104:R106" si="30">P104-K104</f>
        <v>0</v>
      </c>
      <c r="S104" s="266">
        <f t="shared" si="29"/>
        <v>0</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5</v>
      </c>
      <c r="K106" s="355">
        <f>IF(J106&lt;=0,0,L106/J106)</f>
        <v>812.09600000000012</v>
      </c>
      <c r="L106" s="356">
        <f>L103+L104+L105</f>
        <v>4060.4800000000005</v>
      </c>
      <c r="M106" s="265">
        <f>J106-D106</f>
        <v>5</v>
      </c>
      <c r="N106" s="251">
        <f>L106-F106</f>
        <v>4060.4800000000005</v>
      </c>
      <c r="O106" s="252">
        <f>O97</f>
        <v>0</v>
      </c>
      <c r="P106" s="355">
        <f>IF(O106&lt;=0,0,Q106/O106)</f>
        <v>0</v>
      </c>
      <c r="Q106" s="356">
        <f>Q103+Q104+Q105</f>
        <v>0</v>
      </c>
      <c r="R106" s="357">
        <f t="shared" si="30"/>
        <v>-812.09600000000012</v>
      </c>
      <c r="S106" s="356">
        <f>L106-Q106</f>
        <v>4060.4800000000005</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84</v>
      </c>
      <c r="K109" s="269">
        <f>IF(J109&lt;=0,0,L109/J109)</f>
        <v>-279.42904761906726</v>
      </c>
      <c r="L109" s="271">
        <f>L97+L106+L101+L99</f>
        <v>-23472.040000001649</v>
      </c>
      <c r="M109" s="272">
        <f>J109-D109</f>
        <v>84</v>
      </c>
      <c r="N109" s="271">
        <f>L109-F109</f>
        <v>-23472.040000001649</v>
      </c>
      <c r="O109" s="272">
        <f>O97+O101</f>
        <v>0</v>
      </c>
      <c r="P109" s="269">
        <f>IF(O109&lt;=0,0,Q109/O109)</f>
        <v>0</v>
      </c>
      <c r="Q109" s="271">
        <f>Q97+Q106+Q101+Q99</f>
        <v>0</v>
      </c>
      <c r="R109" s="272">
        <f>J109-O109</f>
        <v>84</v>
      </c>
      <c r="S109" s="271">
        <f>L109-Q109</f>
        <v>-23472.040000001649</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-0.13039280080390281</v>
      </c>
      <c r="K113" s="281">
        <f>IF($J$97=0,0,L113/(J$94+J$95+J96))</f>
        <v>557.44799999999964</v>
      </c>
      <c r="L113" s="266">
        <f>SUMIFS(BV_Data_An_Cour!$AM:$AM,BV_Data_An_Cour!$AP:$AP,$B113,BV_Data_An_Cour!$AQ:$AQ,$C113,BV_Data_An_Cour!$AR:$AR,$L$2)</f>
        <v>2787.239999999998</v>
      </c>
      <c r="M113" s="243"/>
      <c r="N113" s="266">
        <f t="shared" ref="N113:N154" si="32">L113-F113</f>
        <v>2787.239999999998</v>
      </c>
      <c r="O113" s="282" t="e">
        <f>Q113/Q97</f>
        <v>#DIV/0!</v>
      </c>
      <c r="P113" s="281" t="e">
        <f>IF($J$97=0,0,Q113/(O$94+O$95+O96))</f>
        <v>#DIV/0!</v>
      </c>
      <c r="Q113" s="266">
        <f>SUMIFS(BV_Data_An_Prec!$AM:$AM,BV_Data_An_Prec!$AP:$AP,$B113,BV_Data_An_Prec!$AQ:$AQ,$C113,BV_Data_An_Prec!$AR:$AR,$L$2)</f>
        <v>0</v>
      </c>
      <c r="R113" s="243"/>
      <c r="S113" s="266">
        <f>L113-Q113</f>
        <v>2787.239999999998</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4.9654228071558233E-2</v>
      </c>
      <c r="K114" s="284">
        <f>IF($J$97=0,0,L114/(J$94+J$95+J96))</f>
        <v>40.324000000000161</v>
      </c>
      <c r="L114" s="266">
        <f>SUMIFS(BV_Data_An_Cour!$AM:$AM,BV_Data_An_Cour!$AP:$AP,$B114,BV_Data_An_Cour!$AQ:$AQ,$C114,BV_Data_An_Cour!$AR:$AR,$L$2)</f>
        <v>201.6200000000008</v>
      </c>
      <c r="M114" s="238"/>
      <c r="N114" s="286">
        <f t="shared" si="32"/>
        <v>201.6200000000008</v>
      </c>
      <c r="O114" s="285" t="e">
        <f>Q114/(Q106)</f>
        <v>#DIV/0!</v>
      </c>
      <c r="P114" s="284" t="e">
        <f>IF($J$97=0,0,Q114/(O$94+O$95+O96))</f>
        <v>#DIV/0!</v>
      </c>
      <c r="Q114" s="266">
        <f>SUMIFS(BV_Data_An_Prec!$AM:$AM,BV_Data_An_Prec!$AP:$AP,$B114,BV_Data_An_Prec!$AQ:$AQ,$C114,BV_Data_An_Prec!$AR:$AR,$L$2)</f>
        <v>0</v>
      </c>
      <c r="R114" s="238"/>
      <c r="S114" s="286">
        <f t="shared" ref="S114:S166" si="33">L114-Q114</f>
        <v>201.6200000000008</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446.60199999999998</v>
      </c>
      <c r="L115" s="303">
        <f>SUMIFS(BV_Data_An_Cour!$AM:$AM,BV_Data_An_Cour!$AP:$AP,$B115,BV_Data_An_Cour!$AQ:$AQ,$C115,BV_Data_An_Cour!$AR:$AR,$L$2)</f>
        <v>2233.0099999999998</v>
      </c>
      <c r="M115" s="243"/>
      <c r="N115" s="266">
        <f t="shared" si="32"/>
        <v>2233.0099999999998</v>
      </c>
      <c r="O115" s="243"/>
      <c r="P115" s="281" t="e">
        <f>IF($J$97=0,0,Q115/(O$94+O$95+O96))</f>
        <v>#DIV/0!</v>
      </c>
      <c r="Q115" s="303">
        <f>SUMIFS(BV_Data_An_Prec!$AM:$AM,BV_Data_An_Prec!$AP:$AP,$B115,BV_Data_An_Prec!$AQ:$AQ,$C115,BV_Data_An_Prec!$AR:$AR,$L$2)</f>
        <v>0</v>
      </c>
      <c r="R115" s="243"/>
      <c r="S115" s="266">
        <f t="shared" si="33"/>
        <v>2233.0099999999998</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0</v>
      </c>
      <c r="L116" s="266">
        <f>SUMIFS(BV_Data_An_Cour!$AM:$AM,BV_Data_An_Cour!$AP:$AP,$B116,BV_Data_An_Cour!$AQ:$AQ,$C116,BV_Data_An_Cour!$AR:$AR,$L$2)</f>
        <v>0</v>
      </c>
      <c r="M116" s="243"/>
      <c r="N116" s="266">
        <f t="shared" si="32"/>
        <v>0</v>
      </c>
      <c r="O116" s="243"/>
      <c r="P116" s="281" t="e">
        <f>IF($J$97=0,0,Q116/(O$94+O$95+O96))</f>
        <v>#DIV/0!</v>
      </c>
      <c r="Q116" s="266">
        <f>SUMIFS(BV_Data_An_Prec!$AM:$AM,BV_Data_An_Prec!$AP:$AP,$B116,BV_Data_An_Prec!$AQ:$AQ,$C116,BV_Data_An_Prec!$AR:$AR,$L$2)</f>
        <v>0</v>
      </c>
      <c r="R116" s="243"/>
      <c r="S116" s="266">
        <f t="shared" si="33"/>
        <v>0</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472.59000000000032</v>
      </c>
      <c r="L118" s="266">
        <f>SUMIFS(BV_Data_An_Cour!$AM:$AM,BV_Data_An_Cour!$AP:$AP,$B118,BV_Data_An_Cour!$AQ:$AQ,$C118,BV_Data_An_Cour!$AR:$AR,$L$2)</f>
        <v>2362.9500000000016</v>
      </c>
      <c r="M118" s="243"/>
      <c r="N118" s="266">
        <f t="shared" si="32"/>
        <v>2362.9500000000016</v>
      </c>
      <c r="O118" s="243"/>
      <c r="P118" s="281" t="e">
        <f>IF($J$97=0,0,Q118/(O$94+O$95+O96))</f>
        <v>#DIV/0!</v>
      </c>
      <c r="Q118" s="266">
        <f>SUMIFS(BV_Data_An_Prec!$AM:$AM,BV_Data_An_Prec!$AP:$AP,$B118,BV_Data_An_Prec!$AQ:$AQ,$C118,BV_Data_An_Prec!$AR:$AR,$L$2)</f>
        <v>0</v>
      </c>
      <c r="R118" s="243"/>
      <c r="S118" s="266">
        <f t="shared" si="33"/>
        <v>2362.9500000000016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4583.3920000000016</v>
      </c>
      <c r="L119" s="658">
        <f>SUMIFS(BV_Data_An_Cour!$AM:$AM,BV_Data_An_Cour!$AP:$AP,$B119,BV_Data_An_Cour!$AQ:$AQ,$C119,BV_Data_An_Cour!$AR:$AR,$L$2)</f>
        <v>22916.960000000006</v>
      </c>
      <c r="M119" s="243"/>
      <c r="N119" s="658">
        <f t="shared" si="32"/>
        <v>22916.960000000006</v>
      </c>
      <c r="O119" s="243"/>
      <c r="P119" s="281" t="e">
        <f>IF($J$97=0,0,Q119/(O$94+O$95+O96))</f>
        <v>#DIV/0!</v>
      </c>
      <c r="Q119" s="658">
        <f>SUMIFS(BV_Data_An_Prec!$AM:$AM,BV_Data_An_Prec!$AP:$AP,$B119,BV_Data_An_Prec!$AQ:$AQ,$C119,BV_Data_An_Prec!$AR:$AR,$L$2)</f>
        <v>0</v>
      </c>
      <c r="R119" s="243"/>
      <c r="S119" s="266">
        <f t="shared" si="33"/>
        <v>22916.960000000006</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-1.2994942067241648</v>
      </c>
      <c r="L123" s="294">
        <f>SUM(L113:L122)</f>
        <v>30501.780000000006</v>
      </c>
      <c r="M123" s="296"/>
      <c r="N123" s="294">
        <f t="shared" si="32"/>
        <v>30501.780000000006</v>
      </c>
      <c r="O123" s="295" t="s">
        <v>115</v>
      </c>
      <c r="P123" s="293" t="e">
        <f>Q123/Q$109</f>
        <v>#DIV/0!</v>
      </c>
      <c r="Q123" s="294">
        <f>SUM(Q113:Q122)</f>
        <v>0</v>
      </c>
      <c r="R123" s="297"/>
      <c r="S123" s="294">
        <f t="shared" si="33"/>
        <v>30501.780000000006</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9483.9499999999971</v>
      </c>
      <c r="M124" s="243"/>
      <c r="N124" s="266">
        <f t="shared" si="32"/>
        <v>9483.9499999999971</v>
      </c>
      <c r="O124" s="243"/>
      <c r="P124" s="38"/>
      <c r="Q124" s="266">
        <f>SUMIFS(BV_Data_An_Prec!$AM:$AM,BV_Data_An_Prec!$AP:$AP,$B124,BV_Data_An_Prec!$AQ:$AQ,$C124,BV_Data_An_Prec!$AR:$AR,$L$2)</f>
        <v>0</v>
      </c>
      <c r="R124" s="243"/>
      <c r="S124" s="266">
        <f t="shared" si="33"/>
        <v>9483.9499999999971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5051.5</v>
      </c>
      <c r="M125" s="243"/>
      <c r="N125" s="266">
        <f t="shared" si="32"/>
        <v>5051.5</v>
      </c>
      <c r="O125" s="243"/>
      <c r="P125" s="38"/>
      <c r="Q125" s="266">
        <f>SUMIFS(BV_Data_An_Prec!$AM:$AM,BV_Data_An_Prec!$AP:$AP,$B125,BV_Data_An_Prec!$AQ:$AQ,$C125,BV_Data_An_Prec!$AR:$AR,$L$2)</f>
        <v>0</v>
      </c>
      <c r="R125" s="243"/>
      <c r="S125" s="266">
        <f t="shared" si="33"/>
        <v>5051.5</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4544.8600000000006</v>
      </c>
      <c r="M126" s="233"/>
      <c r="N126" s="303">
        <f t="shared" si="32"/>
        <v>4544.8600000000006</v>
      </c>
      <c r="O126" s="233"/>
      <c r="P126" s="301"/>
      <c r="Q126" s="303">
        <f>SUMIFS(BV_Data_An_Prec!$AM:$AM,BV_Data_An_Prec!$AP:$AP,$B126,BV_Data_An_Prec!$AQ:$AQ,$C126,BV_Data_An_Prec!$AR:$AR,$L$2)</f>
        <v>0</v>
      </c>
      <c r="R126" s="233"/>
      <c r="S126" s="303">
        <f t="shared" si="33"/>
        <v>4544.8600000000006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1468.33</v>
      </c>
      <c r="M131" s="243"/>
      <c r="N131" s="266">
        <f t="shared" si="32"/>
        <v>1468.33</v>
      </c>
      <c r="O131" s="243"/>
      <c r="P131" s="38"/>
      <c r="Q131" s="266">
        <f>SUMIFS(BV_Data_An_Prec!$AM:$AM,BV_Data_An_Prec!$AP:$AP,$B131,BV_Data_An_Prec!$AQ:$AQ,$C131,BV_Data_An_Prec!$AR:$AR,$L$2)</f>
        <v>0</v>
      </c>
      <c r="R131" s="243"/>
      <c r="S131" s="266">
        <f t="shared" si="33"/>
        <v>1468.33</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1863.3700000000008</v>
      </c>
      <c r="M132" s="233"/>
      <c r="N132" s="303">
        <f t="shared" si="32"/>
        <v>1863.3700000000008</v>
      </c>
      <c r="O132" s="233"/>
      <c r="P132" s="301"/>
      <c r="Q132" s="303">
        <f>SUMIFS(BV_Data_An_Prec!$AM:$AM,BV_Data_An_Prec!$AP:$AP,$B132,BV_Data_An_Prec!$AQ:$AQ,$C132,BV_Data_An_Prec!$AR:$AR,$L$2)</f>
        <v>0</v>
      </c>
      <c r="R132" s="233"/>
      <c r="S132" s="303">
        <f t="shared" si="33"/>
        <v>1863.3700000000008</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2074.58</v>
      </c>
      <c r="M133" s="243"/>
      <c r="N133" s="266">
        <f t="shared" si="32"/>
        <v>2074.58</v>
      </c>
      <c r="O133" s="243"/>
      <c r="P133" s="38"/>
      <c r="Q133" s="266">
        <f>SUMIFS(BV_Data_An_Prec!$AM:$AM,BV_Data_An_Prec!$AP:$AP,$B133,BV_Data_An_Prec!$AQ:$AQ,$C133,BV_Data_An_Prec!$AR:$AR,$L$2)</f>
        <v>0</v>
      </c>
      <c r="R133" s="243"/>
      <c r="S133" s="266">
        <f t="shared" si="33"/>
        <v>2074.58</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20.799999999999983</v>
      </c>
      <c r="M134" s="243"/>
      <c r="N134" s="266">
        <f t="shared" si="32"/>
        <v>20.799999999999983</v>
      </c>
      <c r="O134" s="243"/>
      <c r="P134" s="38"/>
      <c r="Q134" s="266">
        <f>SUMIFS(BV_Data_An_Prec!$AM:$AM,BV_Data_An_Prec!$AP:$AP,$B134,BV_Data_An_Prec!$AQ:$AQ,$C134,BV_Data_An_Prec!$AR:$AR,$L$2)</f>
        <v>0</v>
      </c>
      <c r="R134" s="243"/>
      <c r="S134" s="266">
        <f t="shared" si="33"/>
        <v>20.799999999999983</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-1.0441099282379496</v>
      </c>
      <c r="L136" s="294">
        <f>SUM(L124:L135)</f>
        <v>24507.390000000003</v>
      </c>
      <c r="M136" s="296"/>
      <c r="N136" s="294">
        <f t="shared" si="32"/>
        <v>24507.390000000003</v>
      </c>
      <c r="O136" s="295" t="s">
        <v>115</v>
      </c>
      <c r="P136" s="293" t="e">
        <f>Q136/Q$109</f>
        <v>#DIV/0!</v>
      </c>
      <c r="Q136" s="294">
        <f>SUM(Q124:Q135)</f>
        <v>0</v>
      </c>
      <c r="R136" s="297"/>
      <c r="S136" s="294">
        <f t="shared" si="33"/>
        <v>24507.390000000003</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1177.8500000000004</v>
      </c>
      <c r="M139" s="238"/>
      <c r="N139" s="286">
        <f t="shared" si="32"/>
        <v>1177.8500000000004</v>
      </c>
      <c r="O139" s="238"/>
      <c r="P139" s="304"/>
      <c r="Q139" s="286">
        <f>SUMIFS(BV_Data_An_Prec!$AM:$AM,BV_Data_An_Prec!$AP:$AP,$B139,BV_Data_An_Prec!$AQ:$AQ,$C139,BV_Data_An_Prec!$AR:$AR,$L$2)</f>
        <v>0</v>
      </c>
      <c r="R139" s="238"/>
      <c r="S139" s="286">
        <f t="shared" si="33"/>
        <v>1177.8500000000004</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2218.5499999999993</v>
      </c>
      <c r="M140" s="243"/>
      <c r="N140" s="266">
        <f t="shared" si="32"/>
        <v>2218.5499999999993</v>
      </c>
      <c r="O140" s="243"/>
      <c r="P140" s="38"/>
      <c r="Q140" s="266">
        <f>SUMIFS(BV_Data_An_Prec!$AM:$AM,BV_Data_An_Prec!$AP:$AP,$B140,BV_Data_An_Prec!$AQ:$AQ,$C140,BV_Data_An_Prec!$AR:$AR,$L$2)</f>
        <v>0</v>
      </c>
      <c r="R140" s="243"/>
      <c r="S140" s="266">
        <f t="shared" si="33"/>
        <v>2218.5499999999993</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300</v>
      </c>
      <c r="M141" s="243"/>
      <c r="N141" s="266">
        <f t="shared" si="32"/>
        <v>300</v>
      </c>
      <c r="O141" s="243"/>
      <c r="P141" s="38"/>
      <c r="Q141" s="266">
        <f>SUMIFS(BV_Data_An_Prec!$AM:$AM,BV_Data_An_Prec!$AP:$AP,$B141,BV_Data_An_Prec!$AQ:$AQ,$C141,BV_Data_An_Prec!$AR:$AR,$L$2)</f>
        <v>0</v>
      </c>
      <c r="R141" s="243"/>
      <c r="S141" s="266">
        <f t="shared" si="33"/>
        <v>300</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4693.1899999999996</v>
      </c>
      <c r="M142" s="238"/>
      <c r="N142" s="286">
        <f t="shared" si="32"/>
        <v>4693.1899999999996</v>
      </c>
      <c r="O142" s="238"/>
      <c r="P142" s="304"/>
      <c r="Q142" s="286">
        <f>SUMIFS(BV_Data_An_Prec!$AM:$AM,BV_Data_An_Prec!$AP:$AP,$B142,BV_Data_An_Prec!$AQ:$AQ,$C142,BV_Data_An_Prec!$AR:$AR,$L$2)</f>
        <v>0</v>
      </c>
      <c r="R142" s="238"/>
      <c r="S142" s="286">
        <f t="shared" si="33"/>
        <v>4693.1899999999996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124.94999999999993</v>
      </c>
      <c r="M143" s="243"/>
      <c r="N143" s="266">
        <f t="shared" si="32"/>
        <v>124.94999999999993</v>
      </c>
      <c r="O143" s="243"/>
      <c r="P143" s="38"/>
      <c r="Q143" s="266">
        <f>SUMIFS(BV_Data_An_Prec!$AM:$AM,BV_Data_An_Prec!$AP:$AP,$B143,BV_Data_An_Prec!$AQ:$AQ,$C143,BV_Data_An_Prec!$AR:$AR,$L$2)</f>
        <v>0</v>
      </c>
      <c r="R143" s="243"/>
      <c r="S143" s="266">
        <f t="shared" si="33"/>
        <v>124.94999999999993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976.88000000000056</v>
      </c>
      <c r="M145" s="243"/>
      <c r="N145" s="266">
        <f t="shared" si="32"/>
        <v>976.88000000000056</v>
      </c>
      <c r="O145" s="243"/>
      <c r="P145" s="38"/>
      <c r="Q145" s="266">
        <f>SUMIFS(BV_Data_An_Prec!$AM:$AM,BV_Data_An_Prec!$AP:$AP,$B145,BV_Data_An_Prec!$AQ:$AQ,$C145,BV_Data_An_Prec!$AR:$AR,$L$2)</f>
        <v>0</v>
      </c>
      <c r="R145" s="243"/>
      <c r="S145" s="266">
        <f t="shared" si="33"/>
        <v>976.88000000000056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672.69999999999982</v>
      </c>
      <c r="M146" s="243"/>
      <c r="N146" s="266">
        <f t="shared" si="32"/>
        <v>672.69999999999982</v>
      </c>
      <c r="O146" s="243"/>
      <c r="P146" s="38"/>
      <c r="Q146" s="266">
        <f>SUMIFS(BV_Data_An_Prec!$AM:$AM,BV_Data_An_Prec!$AP:$AP,$B146,BV_Data_An_Prec!$AQ:$AQ,$C146,BV_Data_An_Prec!$AR:$AR,$L$2)</f>
        <v>0</v>
      </c>
      <c r="R146" s="243"/>
      <c r="S146" s="266">
        <f t="shared" si="33"/>
        <v>672.69999999999982</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1044.3700000000008</v>
      </c>
      <c r="M147" s="243"/>
      <c r="N147" s="266">
        <f t="shared" si="32"/>
        <v>1044.3700000000008</v>
      </c>
      <c r="O147" s="243"/>
      <c r="P147" s="38"/>
      <c r="Q147" s="266">
        <f>SUMIFS(BV_Data_An_Prec!$AM:$AM,BV_Data_An_Prec!$AP:$AP,$B147,BV_Data_An_Prec!$AQ:$AQ,$C147,BV_Data_An_Prec!$AR:$AR,$L$2)</f>
        <v>0</v>
      </c>
      <c r="R147" s="243"/>
      <c r="S147" s="266">
        <f t="shared" si="33"/>
        <v>1044.3700000000008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11807.11</v>
      </c>
      <c r="M148" s="243"/>
      <c r="N148" s="266">
        <f t="shared" si="32"/>
        <v>11807.11</v>
      </c>
      <c r="O148" s="243"/>
      <c r="P148" s="38"/>
      <c r="Q148" s="266">
        <f>SUMIFS(BV_Data_An_Prec!$AM:$AM,BV_Data_An_Prec!$AP:$AP,$B148,BV_Data_An_Prec!$AQ:$AQ,$C148,BV_Data_An_Prec!$AR:$AR,$L$2)</f>
        <v>0</v>
      </c>
      <c r="R148" s="243"/>
      <c r="S148" s="266">
        <f t="shared" si="33"/>
        <v>11807.11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185.51999999999998</v>
      </c>
      <c r="M150" s="243"/>
      <c r="N150" s="658">
        <f t="shared" si="32"/>
        <v>185.51999999999998</v>
      </c>
      <c r="O150" s="243"/>
      <c r="P150" s="38"/>
      <c r="Q150" s="658">
        <f>SUMIFS(BV_Data_An_Prec!$AM:$AM,BV_Data_An_Prec!$AP:$AP,$B150,BV_Data_An_Prec!$AQ:$AQ,$C150,BV_Data_An_Prec!$AR:$AR,$L$2)</f>
        <v>0</v>
      </c>
      <c r="R150" s="243"/>
      <c r="S150" s="266">
        <f t="shared" si="33"/>
        <v>185.51999999999998</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-0.98845775654772128</v>
      </c>
      <c r="L154" s="294">
        <f>+SUM(L137:L153)</f>
        <v>23201.120000000006</v>
      </c>
      <c r="M154" s="296"/>
      <c r="N154" s="294">
        <f t="shared" si="32"/>
        <v>23201.120000000006</v>
      </c>
      <c r="O154" s="295" t="s">
        <v>115</v>
      </c>
      <c r="P154" s="293" t="e">
        <f>Q154/Q$109</f>
        <v>#DIV/0!</v>
      </c>
      <c r="Q154" s="294">
        <f>+SUM(Q137:Q153)</f>
        <v>0</v>
      </c>
      <c r="R154" s="297"/>
      <c r="S154" s="294">
        <f t="shared" si="33"/>
        <v>23201.120000000006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-3.3320618915098361</v>
      </c>
      <c r="L156" s="294">
        <f>L123+L136+L154</f>
        <v>78210.290000000023</v>
      </c>
      <c r="M156" s="296"/>
      <c r="N156" s="294">
        <f t="shared" ref="N156:N163" si="34">L156-F156</f>
        <v>78210.290000000023</v>
      </c>
      <c r="O156" s="295" t="s">
        <v>115</v>
      </c>
      <c r="P156" s="293" t="e">
        <f>Q156/Q$109</f>
        <v>#DIV/0!</v>
      </c>
      <c r="Q156" s="294">
        <f>Q123+Q136+Q154</f>
        <v>0</v>
      </c>
      <c r="R156" s="297"/>
      <c r="S156" s="294">
        <f t="shared" si="33"/>
        <v>78210.290000000023</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-101682.33000000168</v>
      </c>
      <c r="M166" s="960"/>
      <c r="N166" s="958">
        <f>L166-F166</f>
        <v>-101682.33000000168</v>
      </c>
      <c r="O166" s="959"/>
      <c r="P166" s="957"/>
      <c r="Q166" s="958">
        <f>Q109-Q156+Q164</f>
        <v>0</v>
      </c>
      <c r="R166" s="961"/>
      <c r="S166" s="958">
        <f t="shared" si="33"/>
        <v>-101682.33000000168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Juin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7003556.459999999</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97</v>
      </c>
      <c r="K175" s="281">
        <f t="shared" ref="K175:K179" si="35">IF(J175=0,0,L175/J175)</f>
        <v>407.25072164948762</v>
      </c>
      <c r="L175" s="266">
        <f>-SUMIFS(BV_Data_An_Cour!$AM:$AM,BV_Data_An_Cour!$AP:$AP,$B175,BV_Data_An_Cour!$AQ:$AQ,$C175,BV_Data_An_Cour!$AR:$AR,$L2)</f>
        <v>39503.320000000298</v>
      </c>
      <c r="M175" s="245">
        <f>J175-D175</f>
        <v>97</v>
      </c>
      <c r="N175" s="246">
        <f>L175-F175</f>
        <v>39503.320000000298</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97</v>
      </c>
      <c r="S175" s="266">
        <f t="shared" ref="S175:S177" si="38">L175-Q175</f>
        <v>39503.320000000298</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9</v>
      </c>
      <c r="K179" s="281">
        <f t="shared" si="35"/>
        <v>3525.1522222221311</v>
      </c>
      <c r="L179" s="266">
        <f>-SUMIFS(BV_Data_An_Cour!$AM:$AM,BV_Data_An_Cour!$AP:$AP,$B179,BV_Data_An_Cour!$AQ:$AQ,$C179,BV_Data_An_Cour!$AR:$AR,$L2)</f>
        <v>31726.36999999918</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9</v>
      </c>
      <c r="S179" s="266">
        <f>L179-Q179</f>
        <v>31726.36999999918</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106</v>
      </c>
      <c r="K182" s="269">
        <f>IF(J182&lt;=0,0,L182/J182)</f>
        <v>671.97820754716486</v>
      </c>
      <c r="L182" s="271">
        <f>L175+L179+L177</f>
        <v>71229.689999999478</v>
      </c>
      <c r="M182" s="272" t="e">
        <f>J182-D182</f>
        <v>#N/A</v>
      </c>
      <c r="N182" s="271" t="e">
        <f>L182-F182</f>
        <v>#REF!</v>
      </c>
      <c r="O182" s="272">
        <f>O175+O177+O179</f>
        <v>0</v>
      </c>
      <c r="P182" s="269">
        <f>IF(O182&lt;=0,0,Q182/O182)</f>
        <v>0</v>
      </c>
      <c r="Q182" s="271">
        <f>Q175+Q179+Q177</f>
        <v>0</v>
      </c>
      <c r="R182" s="272">
        <f>J182-O182</f>
        <v>106</v>
      </c>
      <c r="S182" s="271">
        <f>L182-Q182</f>
        <v>71229.689999999478</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0</v>
      </c>
      <c r="L188" s="303">
        <f>SUMIFS(BV_Data_An_Cour!$AM:$AM,BV_Data_An_Cour!$AP:$AP,$B188,BV_Data_An_Cour!$AQ:$AQ,$C188,BV_Data_An_Cour!$AR:$AR,$L$2)</f>
        <v>0</v>
      </c>
      <c r="M188" s="243"/>
      <c r="N188" s="266">
        <f t="shared" si="40"/>
        <v>0</v>
      </c>
      <c r="O188" s="243"/>
      <c r="P188" s="281" t="e">
        <f>IF($J$97=0,0,Q188/(O$94+O$95+O182))</f>
        <v>#DIV/0!</v>
      </c>
      <c r="Q188" s="303">
        <f>SUMIFS(BV_Data_An_Prec!$AM:$AM,BV_Data_An_Prec!$AP:$AP,$B188,BV_Data_An_Prec!$AQ:$AQ,$C188,BV_Data_An_Prec!$AR:$AR,$L$2)</f>
        <v>0</v>
      </c>
      <c r="R188" s="243"/>
      <c r="S188" s="266">
        <f t="shared" si="41"/>
        <v>0</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200.42324324324335</v>
      </c>
      <c r="L192" s="658">
        <f>SUMIFS(BV_Data_An_Cour!$AM:$AM,BV_Data_An_Cour!$AP:$AP,$B192,BV_Data_An_Cour!$AQ:$AQ,$C192,BV_Data_An_Cour!$AR:$AR,$L$2)</f>
        <v>22246.98000000001</v>
      </c>
      <c r="M192" s="243"/>
      <c r="N192" s="658">
        <f t="shared" si="40"/>
        <v>22246.98000000001</v>
      </c>
      <c r="O192" s="243"/>
      <c r="P192" s="281" t="e">
        <f>IF($J$97=0,0,Q192/(O$94+O$95+O182))</f>
        <v>#DIV/0!</v>
      </c>
      <c r="Q192" s="658">
        <f>SUMIFS(BV_Data_An_Prec!$AM:$AM,BV_Data_An_Prec!$AP:$AP,$B192,BV_Data_An_Prec!$AQ:$AQ,$C192,BV_Data_An_Prec!$AR:$AR,$L$2)</f>
        <v>0</v>
      </c>
      <c r="R192" s="243"/>
      <c r="S192" s="266">
        <f t="shared" si="41"/>
        <v>22246.98000000001</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-0.94780768948921557</v>
      </c>
      <c r="L196" s="294">
        <f>SUM(L186:L195)</f>
        <v>22246.98000000001</v>
      </c>
      <c r="M196" s="296"/>
      <c r="N196" s="294">
        <f t="shared" si="40"/>
        <v>22246.98000000001</v>
      </c>
      <c r="O196" s="295" t="s">
        <v>115</v>
      </c>
      <c r="P196" s="293" t="e">
        <f>Q196/Q$109</f>
        <v>#DIV/0!</v>
      </c>
      <c r="Q196" s="294">
        <f>SUM(Q186:Q195)</f>
        <v>0</v>
      </c>
      <c r="R196" s="297"/>
      <c r="S196" s="294">
        <f t="shared" si="41"/>
        <v>22246.98000000001</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-57273.609999999986</v>
      </c>
      <c r="M197" s="243"/>
      <c r="N197" s="266">
        <f t="shared" si="40"/>
        <v>-57273.609999999986</v>
      </c>
      <c r="O197" s="243"/>
      <c r="P197" s="38"/>
      <c r="Q197" s="266">
        <f>SUMIFS(BV_Data_An_Prec!$AM:$AM,BV_Data_An_Prec!$AP:$AP,$B197,BV_Data_An_Prec!$AQ:$AQ,$C197,BV_Data_An_Prec!$AR:$AR,$L$2)</f>
        <v>0</v>
      </c>
      <c r="R197" s="243"/>
      <c r="S197" s="266">
        <f t="shared" si="41"/>
        <v>-57273.609999999986</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12686.980000000003</v>
      </c>
      <c r="M198" s="243"/>
      <c r="N198" s="266">
        <f t="shared" si="40"/>
        <v>12686.980000000003</v>
      </c>
      <c r="O198" s="243"/>
      <c r="P198" s="38"/>
      <c r="Q198" s="266">
        <f>SUMIFS(BV_Data_An_Prec!$AM:$AM,BV_Data_An_Prec!$AP:$AP,$B198,BV_Data_An_Prec!$AQ:$AQ,$C198,BV_Data_An_Prec!$AR:$AR,$L$2)</f>
        <v>0</v>
      </c>
      <c r="R198" s="243"/>
      <c r="S198" s="266">
        <f t="shared" si="41"/>
        <v>12686.980000000003</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33648.75</v>
      </c>
      <c r="M199" s="233"/>
      <c r="N199" s="303">
        <f t="shared" si="40"/>
        <v>33648.75</v>
      </c>
      <c r="O199" s="233"/>
      <c r="P199" s="301"/>
      <c r="Q199" s="303">
        <f>SUMIFS(BV_Data_An_Prec!$AM:$AM,BV_Data_An_Prec!$AP:$AP,$B199,BV_Data_An_Prec!$AQ:$AQ,$C199,BV_Data_An_Prec!$AR:$AR,$L$2)</f>
        <v>0</v>
      </c>
      <c r="R199" s="233"/>
      <c r="S199" s="303">
        <f t="shared" si="41"/>
        <v>33648.75</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2494.6800000000003</v>
      </c>
      <c r="M204" s="243"/>
      <c r="N204" s="266">
        <f t="shared" si="40"/>
        <v>2494.6800000000003</v>
      </c>
      <c r="O204" s="243"/>
      <c r="P204" s="38"/>
      <c r="Q204" s="266">
        <f>SUMIFS(BV_Data_An_Prec!$AM:$AM,BV_Data_An_Prec!$AP:$AP,$B204,BV_Data_An_Prec!$AQ:$AQ,$C204,BV_Data_An_Prec!$AR:$AR,$L$2)</f>
        <v>0</v>
      </c>
      <c r="R204" s="243"/>
      <c r="S204" s="266">
        <f t="shared" si="41"/>
        <v>2494.6800000000003</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2841.66</v>
      </c>
      <c r="M205" s="233"/>
      <c r="N205" s="303">
        <f t="shared" si="40"/>
        <v>2841.66</v>
      </c>
      <c r="O205" s="233"/>
      <c r="P205" s="301"/>
      <c r="Q205" s="303">
        <f>SUMIFS(BV_Data_An_Prec!$AM:$AM,BV_Data_An_Prec!$AP:$AP,$B205,BV_Data_An_Prec!$AQ:$AQ,$C205,BV_Data_An_Prec!$AR:$AR,$L$2)</f>
        <v>0</v>
      </c>
      <c r="R205" s="233"/>
      <c r="S205" s="303">
        <f t="shared" si="41"/>
        <v>2841.66</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6711.51</v>
      </c>
      <c r="M206" s="243"/>
      <c r="N206" s="266">
        <f t="shared" si="40"/>
        <v>6711.51</v>
      </c>
      <c r="O206" s="243"/>
      <c r="P206" s="38"/>
      <c r="Q206" s="266">
        <f>SUMIFS(BV_Data_An_Prec!$AM:$AM,BV_Data_An_Prec!$AP:$AP,$B206,BV_Data_An_Prec!$AQ:$AQ,$C206,BV_Data_An_Prec!$AR:$AR,$L$2)</f>
        <v>0</v>
      </c>
      <c r="R206" s="243"/>
      <c r="S206" s="266">
        <f t="shared" si="41"/>
        <v>6711.51</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-4.7289029841459863E-2</v>
      </c>
      <c r="L209" s="294">
        <f>SUM(L197:L208)</f>
        <v>1109.9700000000175</v>
      </c>
      <c r="M209" s="296"/>
      <c r="N209" s="294">
        <f t="shared" si="40"/>
        <v>1109.9700000000175</v>
      </c>
      <c r="O209" s="295" t="s">
        <v>115</v>
      </c>
      <c r="P209" s="293" t="e">
        <f>Q209/Q$109</f>
        <v>#DIV/0!</v>
      </c>
      <c r="Q209" s="294">
        <f>SUM(Q197:Q208)</f>
        <v>0</v>
      </c>
      <c r="R209" s="297"/>
      <c r="S209" s="294">
        <f t="shared" si="41"/>
        <v>1109.9700000000175</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0</v>
      </c>
      <c r="M218" s="243"/>
      <c r="N218" s="266">
        <f t="shared" si="40"/>
        <v>0</v>
      </c>
      <c r="O218" s="243"/>
      <c r="P218" s="38"/>
      <c r="Q218" s="266">
        <f>SUMIFS(BV_Data_An_Prec!$AM:$AM,BV_Data_An_Prec!$AP:$AP,$B218,BV_Data_An_Prec!$AQ:$AQ,$C218,BV_Data_An_Prec!$AR:$AR,$L$2)</f>
        <v>0</v>
      </c>
      <c r="R218" s="243"/>
      <c r="S218" s="266">
        <f t="shared" si="41"/>
        <v>0</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41.979999999999563</v>
      </c>
      <c r="M220" s="243"/>
      <c r="N220" s="266">
        <f t="shared" si="40"/>
        <v>41.979999999999563</v>
      </c>
      <c r="O220" s="243"/>
      <c r="P220" s="38"/>
      <c r="Q220" s="266">
        <f>SUMIFS(BV_Data_An_Prec!$AM:$AM,BV_Data_An_Prec!$AP:$AP,$B220,BV_Data_An_Prec!$AQ:$AQ,$C220,BV_Data_An_Prec!$AR:$AR,$L$2)</f>
        <v>0</v>
      </c>
      <c r="R220" s="243"/>
      <c r="S220" s="266">
        <f t="shared" si="41"/>
        <v>41.979999999999563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-1.7885109261911881E-3</v>
      </c>
      <c r="L227" s="294">
        <f>+SUM(L210:L226)</f>
        <v>41.979999999999563</v>
      </c>
      <c r="M227" s="296"/>
      <c r="N227" s="294">
        <f t="shared" si="40"/>
        <v>41.979999999999563</v>
      </c>
      <c r="O227" s="295" t="s">
        <v>115</v>
      </c>
      <c r="P227" s="293" t="e">
        <f>Q227/Q$109</f>
        <v>#DIV/0!</v>
      </c>
      <c r="Q227" s="294">
        <f>+SUM(Q210:Q226)</f>
        <v>0</v>
      </c>
      <c r="R227" s="297"/>
      <c r="S227" s="294">
        <f t="shared" si="41"/>
        <v>41.979999999999563</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-0.99688523025686659</v>
      </c>
      <c r="L229" s="294">
        <f>L196+L209+L227</f>
        <v>23398.930000000026</v>
      </c>
      <c r="M229" s="296"/>
      <c r="N229" s="294">
        <f t="shared" ref="N229:N236" si="42">L229-F229</f>
        <v>23398.930000000026</v>
      </c>
      <c r="O229" s="295" t="s">
        <v>115</v>
      </c>
      <c r="P229" s="293" t="e">
        <f>Q229/Q$109</f>
        <v>#DIV/0!</v>
      </c>
      <c r="Q229" s="294">
        <f>Q196+Q209+Q227</f>
        <v>0</v>
      </c>
      <c r="R229" s="297"/>
      <c r="S229" s="294">
        <f t="shared" ref="S229:S236" si="43">L229-Q229</f>
        <v>23398.930000000026</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47830.759999999456</v>
      </c>
      <c r="M239" s="960"/>
      <c r="N239" s="958" t="e">
        <f>L239-F239</f>
        <v>#REF!</v>
      </c>
      <c r="O239" s="959"/>
      <c r="P239" s="957"/>
      <c r="Q239" s="958">
        <f>Q182-Q229+Q237</f>
        <v>0</v>
      </c>
      <c r="R239" s="961"/>
      <c r="S239" s="958">
        <f>L239-Q239</f>
        <v>47830.759999999456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Juin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210</v>
      </c>
      <c r="K246" s="281">
        <f>-SUMIFS(BV_Data_An_Cour!$AM:$AM,BV_Data_An_Cour!$AS:$AS,"Oui",BV_Data_An_Cour!$AP:$AP,$B246,BV_Data_An_Cour!$AQ:$AQ,$C246)</f>
        <v>80373.72000000003</v>
      </c>
      <c r="L246" s="266">
        <f>-SUMIFS(BV_Data_An_Cour!$AM:$AM,BV_Data_An_Cour!$AP:$AP,$B246,BV_Data_An_Cour!$AQ:$AQ,$C246,BV_Data_An_Cour!$AR:$AR,$L$2)</f>
        <v>62675.450000000026</v>
      </c>
      <c r="M246" s="282" t="e">
        <f>(K246-E246)/E246</f>
        <v>#DIV/0!</v>
      </c>
      <c r="N246" s="266">
        <f>L246-F246</f>
        <v>62675.450000000026</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62675.450000000026</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0.77980028795481915</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382.73200000000014</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377</v>
      </c>
      <c r="K249" s="336">
        <f>-SUMIFS(BV_Data_An_Cour!$AM:$AM,BV_Data_An_Cour!$AS:$AS,"Oui",BV_Data_An_Cour!$AP:$AP,$B249,BV_Data_An_Cour!$AQ:$AQ,$C249)</f>
        <v>52490.790000000008</v>
      </c>
      <c r="L249" s="266">
        <f>-SUMIFS(BV_Data_An_Cour!$AM:$AM,BV_Data_An_Cour!$AP:$AP,$B249,BV_Data_An_Cour!$AQ:$AQ,$C249,BV_Data_An_Cour!$AR:$AR,$L$2)</f>
        <v>37518.78</v>
      </c>
      <c r="M249" s="282" t="e">
        <f>(K249-E249)/E249</f>
        <v>#DIV/0!</v>
      </c>
      <c r="N249" s="303">
        <f>L249-F249</f>
        <v>37518.78</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37518.78</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0.71476881944432524</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139.23286472148544</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691</v>
      </c>
      <c r="K252" s="336">
        <f>-SUMIFS(BV_Data_An_Cour!$AM:$AM,BV_Data_An_Cour!$AS:$AS,"Oui",BV_Data_An_Cour!$AP:$AP,$B252,BV_Data_An_Cour!$AQ:$AQ,$C252)</f>
        <v>90904.360000000015</v>
      </c>
      <c r="L252" s="266">
        <f>-SUMIFS(BV_Data_An_Cour!$AM:$AM,BV_Data_An_Cour!$AP:$AP,$B252,BV_Data_An_Cour!$AQ:$AQ,$C252,BV_Data_An_Cour!$AR:$AR,$L$2)</f>
        <v>72531.420000000013</v>
      </c>
      <c r="M252" s="282" t="e">
        <f>(K252-E252)/E252</f>
        <v>#DIV/0!</v>
      </c>
      <c r="N252" s="266">
        <f>L252-F252</f>
        <v>72531.420000000013</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72531.420000000013</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0.79788714204687217</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131.55479015918959</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-3746.4000000000015</v>
      </c>
      <c r="M258" s="267"/>
      <c r="N258" s="266">
        <f>L258-F258</f>
        <v>-3746.4000000000015</v>
      </c>
      <c r="O258" s="267"/>
      <c r="P258" s="281"/>
      <c r="Q258" s="281">
        <f>-SUMIFS(BV_Data_An_Prec!$AM:$AM,BV_Data_An_Prec!$AP:$AP,$B258,BV_Data_An_Prec!$AQ:$AQ,$C258,BV_Data_An_Prec!$AR:$AR,$L$2)</f>
        <v>0</v>
      </c>
      <c r="R258" s="345"/>
      <c r="S258" s="266">
        <f t="shared" ref="S258:S259" si="44">L258-Q258</f>
        <v>-3746.4000000000015</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1278</v>
      </c>
      <c r="K259" s="976">
        <f t="shared" si="45"/>
        <v>223768.87000000005</v>
      </c>
      <c r="L259" s="977">
        <f>L246+L249+L252+L255+L258</f>
        <v>168979.25000000003</v>
      </c>
      <c r="M259" s="978" t="e">
        <f>(K259-E259)/E259</f>
        <v>#DIV/0!</v>
      </c>
      <c r="N259" s="977">
        <f>L259-F259</f>
        <v>168979.25000000003</v>
      </c>
      <c r="O259" s="975">
        <f t="shared" ref="O259:P259" si="46">O246+O249+O252+O255+O258</f>
        <v>0</v>
      </c>
      <c r="P259" s="976">
        <f t="shared" si="46"/>
        <v>0</v>
      </c>
      <c r="Q259" s="977">
        <f>Q246+Q249+Q252+Q255+Q258</f>
        <v>0</v>
      </c>
      <c r="R259" s="254">
        <f>IF(O259=0,0,J259/O259)</f>
        <v>0</v>
      </c>
      <c r="S259" s="348">
        <f t="shared" si="44"/>
        <v>168979.25000000003</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175.09301251956185</v>
      </c>
      <c r="L260" s="255">
        <f>IF(L259=0,0,L259/K259)</f>
        <v>0.75515083934597327</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416</v>
      </c>
      <c r="K262" s="281">
        <f>-SUMIFS(BV_Data_An_Cour!$AM:$AM,BV_Data_An_Cour!$AS:$AS,"Oui",BV_Data_An_Cour!$AP:$AP,$B262,BV_Data_An_Cour!$AQ:$AQ,$C262)</f>
        <v>35062.180000000008</v>
      </c>
      <c r="L262" s="266">
        <f>-SUMIFS(BV_Data_An_Cour!$AM:$AM,BV_Data_An_Cour!$AP:$AP,$B262,BV_Data_An_Cour!$AQ:$AQ,$C262,BV_Data_An_Cour!$AR:$AR,$L$2)</f>
        <v>-501.18000000000029</v>
      </c>
      <c r="M262" s="282">
        <f>IF(E262=0,0,(K262-E262)/E262)</f>
        <v>0</v>
      </c>
      <c r="N262" s="266">
        <f>L262-F262</f>
        <v>-501.18000000000029</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-501.18000000000029</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-1.4294034198672192E-2</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258831.05000000005</v>
      </c>
      <c r="L268" s="271">
        <f>L259+L262+L265</f>
        <v>168478.07000000004</v>
      </c>
      <c r="M268" s="272" t="e">
        <f>L269-F269</f>
        <v>#DIV/0!</v>
      </c>
      <c r="N268" s="271">
        <f>L268-F268</f>
        <v>168478.07000000004</v>
      </c>
      <c r="O268" s="272"/>
      <c r="P268" s="269">
        <f t="shared" ref="P268" si="48">P259+P262+P265</f>
        <v>0</v>
      </c>
      <c r="Q268" s="271">
        <f>Q259+Q262+Q265</f>
        <v>0</v>
      </c>
      <c r="R268" s="272"/>
      <c r="S268" s="271">
        <f>L268-Q268</f>
        <v>168478.07000000004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0.65091908408979526</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7473.9599999999991</v>
      </c>
      <c r="M272" s="243"/>
      <c r="N272" s="266">
        <f t="shared" ref="N272:N303" si="49">L272-F272</f>
        <v>7473.9599999999991</v>
      </c>
      <c r="O272" s="243"/>
      <c r="P272" s="38"/>
      <c r="Q272" s="266">
        <f>SUMIFS(BV_Data_An_Prec!$AM:$AM,BV_Data_An_Prec!$AP:$AP,$B272,BV_Data_An_Prec!$AQ:$AQ,$C272,BV_Data_An_Prec!$AR:$AR,$L$2)</f>
        <v>0</v>
      </c>
      <c r="R272" s="243"/>
      <c r="S272" s="266">
        <f t="shared" ref="S272:S303" si="50">L272-Q272</f>
        <v>7473.9599999999991</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24696.190000000002</v>
      </c>
      <c r="M273" s="243"/>
      <c r="N273" s="266">
        <f t="shared" si="49"/>
        <v>24696.190000000002</v>
      </c>
      <c r="O273" s="243"/>
      <c r="P273" s="38"/>
      <c r="Q273" s="266">
        <f>SUMIFS(BV_Data_An_Prec!$AM:$AM,BV_Data_An_Prec!$AP:$AP,$B273,BV_Data_An_Prec!$AQ:$AQ,$C273,BV_Data_An_Prec!$AR:$AR,$L$2)</f>
        <v>0</v>
      </c>
      <c r="R273" s="243"/>
      <c r="S273" s="266">
        <f t="shared" si="50"/>
        <v>24696.190000000002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30028.260000000009</v>
      </c>
      <c r="M274" s="233"/>
      <c r="N274" s="303">
        <f t="shared" si="49"/>
        <v>30028.260000000009</v>
      </c>
      <c r="O274" s="233"/>
      <c r="P274" s="301"/>
      <c r="Q274" s="303">
        <f>SUMIFS(BV_Data_An_Prec!$AM:$AM,BV_Data_An_Prec!$AP:$AP,$B274,BV_Data_An_Prec!$AQ:$AQ,$C274,BV_Data_An_Prec!$AR:$AR,$L$2)</f>
        <v>0</v>
      </c>
      <c r="R274" s="233"/>
      <c r="S274" s="303">
        <f t="shared" si="50"/>
        <v>30028.260000000009</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16414.25</v>
      </c>
      <c r="M279" s="243"/>
      <c r="N279" s="266">
        <f t="shared" si="49"/>
        <v>16414.25</v>
      </c>
      <c r="O279" s="243"/>
      <c r="P279" s="38"/>
      <c r="Q279" s="266">
        <f>SUMIFS(BV_Data_An_Prec!$AM:$AM,BV_Data_An_Prec!$AP:$AP,$B279,BV_Data_An_Prec!$AQ:$AQ,$C279,BV_Data_An_Prec!$AR:$AR,$L$2)</f>
        <v>0</v>
      </c>
      <c r="R279" s="243"/>
      <c r="S279" s="266">
        <f t="shared" si="50"/>
        <v>16414.25</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18599.5</v>
      </c>
      <c r="M280" s="233"/>
      <c r="N280" s="303">
        <f t="shared" si="49"/>
        <v>18599.5</v>
      </c>
      <c r="O280" s="233"/>
      <c r="P280" s="301"/>
      <c r="Q280" s="303">
        <f>SUMIFS(BV_Data_An_Prec!$AM:$AM,BV_Data_An_Prec!$AP:$AP,$B280,BV_Data_An_Prec!$AQ:$AQ,$C280,BV_Data_An_Prec!$AR:$AR,$L$2)</f>
        <v>0</v>
      </c>
      <c r="R280" s="233"/>
      <c r="S280" s="303">
        <f t="shared" si="50"/>
        <v>18599.5</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10569.369999999995</v>
      </c>
      <c r="M281" s="243"/>
      <c r="N281" s="266">
        <f t="shared" si="49"/>
        <v>10569.369999999995</v>
      </c>
      <c r="O281" s="243"/>
      <c r="P281" s="38"/>
      <c r="Q281" s="266">
        <f>SUMIFS(BV_Data_An_Prec!$AM:$AM,BV_Data_An_Prec!$AP:$AP,$B281,BV_Data_An_Prec!$AQ:$AQ,$C281,BV_Data_An_Prec!$AR:$AR,$L$2)</f>
        <v>0</v>
      </c>
      <c r="R281" s="243"/>
      <c r="S281" s="266">
        <f t="shared" si="50"/>
        <v>10569.369999999995</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968.47999999999956</v>
      </c>
      <c r="M282" s="243"/>
      <c r="N282" s="266">
        <f t="shared" si="49"/>
        <v>968.47999999999956</v>
      </c>
      <c r="O282" s="243"/>
      <c r="P282" s="38"/>
      <c r="Q282" s="266">
        <f>SUMIFS(BV_Data_An_Prec!$AM:$AM,BV_Data_An_Prec!$AP:$AP,$B282,BV_Data_An_Prec!$AQ:$AQ,$C282,BV_Data_An_Prec!$AR:$AR,$L$2)</f>
        <v>0</v>
      </c>
      <c r="R282" s="243"/>
      <c r="S282" s="266">
        <f t="shared" si="50"/>
        <v>968.47999999999956</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0.64548466159423579</v>
      </c>
      <c r="L284" s="294">
        <f>+SUM(L272:L283)</f>
        <v>108750.01</v>
      </c>
      <c r="M284" s="296"/>
      <c r="N284" s="294">
        <f t="shared" si="49"/>
        <v>108750.01</v>
      </c>
      <c r="O284" s="295" t="s">
        <v>171</v>
      </c>
      <c r="P284" s="293" t="e">
        <f>Q284/Q$268</f>
        <v>#DIV/0!</v>
      </c>
      <c r="Q284" s="294">
        <f>+SUM(Q272:Q283)</f>
        <v>0</v>
      </c>
      <c r="R284" s="297"/>
      <c r="S284" s="294">
        <f t="shared" si="50"/>
        <v>108750.01</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626.39000000000033</v>
      </c>
      <c r="M285" s="243"/>
      <c r="N285" s="266">
        <f t="shared" si="49"/>
        <v>626.39000000000033</v>
      </c>
      <c r="O285" s="243"/>
      <c r="P285" s="38"/>
      <c r="Q285" s="266">
        <f>SUMIFS(BV_Data_An_Prec!$AM:$AM,BV_Data_An_Prec!$AP:$AP,$B285,BV_Data_An_Prec!$AQ:$AQ,$C285,BV_Data_An_Prec!$AR:$AR,$L$2)</f>
        <v>0</v>
      </c>
      <c r="R285" s="243"/>
      <c r="S285" s="266">
        <f t="shared" si="50"/>
        <v>626.39000000000033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465.72999999999956</v>
      </c>
      <c r="M286" s="243"/>
      <c r="N286" s="266">
        <f t="shared" si="49"/>
        <v>465.72999999999956</v>
      </c>
      <c r="O286" s="243"/>
      <c r="P286" s="38"/>
      <c r="Q286" s="266">
        <f>SUMIFS(BV_Data_An_Prec!$AM:$AM,BV_Data_An_Prec!$AP:$AP,$B286,BV_Data_An_Prec!$AQ:$AQ,$C286,BV_Data_An_Prec!$AR:$AR,$L$2)</f>
        <v>0</v>
      </c>
      <c r="R286" s="243"/>
      <c r="S286" s="266">
        <f t="shared" si="50"/>
        <v>465.72999999999956</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-13474.449999999997</v>
      </c>
      <c r="M287" s="238"/>
      <c r="N287" s="286">
        <f t="shared" si="49"/>
        <v>-13474.449999999997</v>
      </c>
      <c r="O287" s="238"/>
      <c r="P287" s="304"/>
      <c r="Q287" s="266">
        <f>SUMIFS(BV_Data_An_Prec!$AM:$AM,BV_Data_An_Prec!$AP:$AP,$B287,BV_Data_An_Prec!$AQ:$AQ,$C287,BV_Data_An_Prec!$AR:$AR,$L$2)</f>
        <v>0</v>
      </c>
      <c r="R287" s="238"/>
      <c r="S287" s="286">
        <f t="shared" si="50"/>
        <v>-13474.449999999997</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3074.7900000000009</v>
      </c>
      <c r="M288" s="243"/>
      <c r="N288" s="266">
        <f t="shared" si="49"/>
        <v>3074.7900000000009</v>
      </c>
      <c r="O288" s="243"/>
      <c r="P288" s="38"/>
      <c r="Q288" s="303">
        <f>SUMIFS(BV_Data_An_Prec!$AM:$AM,BV_Data_An_Prec!$AP:$AP,$B288,BV_Data_An_Prec!$AQ:$AQ,$C288,BV_Data_An_Prec!$AR:$AR,$L$2)</f>
        <v>0</v>
      </c>
      <c r="R288" s="243"/>
      <c r="S288" s="266">
        <f t="shared" si="50"/>
        <v>3074.7900000000009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475.96</v>
      </c>
      <c r="M289" s="243"/>
      <c r="N289" s="266">
        <f t="shared" si="49"/>
        <v>475.96</v>
      </c>
      <c r="O289" s="243"/>
      <c r="P289" s="38"/>
      <c r="Q289" s="266">
        <f>SUMIFS(BV_Data_An_Prec!$AM:$AM,BV_Data_An_Prec!$AP:$AP,$B289,BV_Data_An_Prec!$AQ:$AQ,$C289,BV_Data_An_Prec!$AR:$AR,$L$2)</f>
        <v>0</v>
      </c>
      <c r="R289" s="243"/>
      <c r="S289" s="266">
        <f t="shared" si="50"/>
        <v>475.96</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13637.299999999996</v>
      </c>
      <c r="M290" s="238"/>
      <c r="N290" s="286">
        <f t="shared" si="49"/>
        <v>13637.299999999996</v>
      </c>
      <c r="O290" s="238"/>
      <c r="P290" s="304"/>
      <c r="Q290" s="266">
        <f>SUMIFS(BV_Data_An_Prec!$AM:$AM,BV_Data_An_Prec!$AP:$AP,$B290,BV_Data_An_Prec!$AQ:$AQ,$C290,BV_Data_An_Prec!$AR:$AR,$L$2)</f>
        <v>0</v>
      </c>
      <c r="R290" s="238"/>
      <c r="S290" s="286">
        <f t="shared" si="50"/>
        <v>13637.299999999996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-1664.0200000000004</v>
      </c>
      <c r="M292" s="243"/>
      <c r="N292" s="266">
        <f t="shared" si="49"/>
        <v>-1664.0200000000004</v>
      </c>
      <c r="O292" s="243"/>
      <c r="P292" s="38"/>
      <c r="Q292" s="266">
        <f>SUMIFS(BV_Data_An_Prec!$AM:$AM,BV_Data_An_Prec!$AP:$AP,$B292,BV_Data_An_Prec!$AQ:$AQ,$C292,BV_Data_An_Prec!$AR:$AR,$L$2)</f>
        <v>0</v>
      </c>
      <c r="R292" s="243"/>
      <c r="S292" s="266">
        <f t="shared" si="50"/>
        <v>-1664.0200000000004</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1465.3000000000002</v>
      </c>
      <c r="M294" s="243"/>
      <c r="N294" s="266">
        <f t="shared" si="49"/>
        <v>1465.3000000000002</v>
      </c>
      <c r="O294" s="243"/>
      <c r="P294" s="281"/>
      <c r="Q294" s="266">
        <f>SUMIFS(BV_Data_An_Prec!$AM:$AM,BV_Data_An_Prec!$AP:$AP,$B294,BV_Data_An_Prec!$AQ:$AQ,$C294,BV_Data_An_Prec!$AR:$AR,$L$2)</f>
        <v>0</v>
      </c>
      <c r="R294" s="243"/>
      <c r="S294" s="266">
        <f t="shared" si="50"/>
        <v>1465.3000000000002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1484.0600000000004</v>
      </c>
      <c r="M295" s="243"/>
      <c r="N295" s="266">
        <f t="shared" si="49"/>
        <v>1484.0600000000004</v>
      </c>
      <c r="O295" s="243"/>
      <c r="P295" s="38"/>
      <c r="Q295" s="266">
        <f>SUMIFS(BV_Data_An_Prec!$AM:$AM,BV_Data_An_Prec!$AP:$AP,$B295,BV_Data_An_Prec!$AQ:$AQ,$C295,BV_Data_An_Prec!$AR:$AR,$L$2)</f>
        <v>0</v>
      </c>
      <c r="R295" s="243"/>
      <c r="S295" s="266">
        <f t="shared" si="50"/>
        <v>1484.0600000000004</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864.15000000000009</v>
      </c>
      <c r="M296" s="243"/>
      <c r="N296" s="266">
        <f t="shared" si="49"/>
        <v>864.15000000000009</v>
      </c>
      <c r="O296" s="243"/>
      <c r="P296" s="38"/>
      <c r="Q296" s="266">
        <f>SUMIFS(BV_Data_An_Prec!$AM:$AM,BV_Data_An_Prec!$AP:$AP,$B296,BV_Data_An_Prec!$AQ:$AQ,$C296,BV_Data_An_Prec!$AR:$AR,$L$2)</f>
        <v>0</v>
      </c>
      <c r="R296" s="243"/>
      <c r="S296" s="266">
        <f t="shared" si="50"/>
        <v>864.15000000000009</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8384.16</v>
      </c>
      <c r="M297" s="243"/>
      <c r="N297" s="266">
        <f t="shared" si="49"/>
        <v>8384.16</v>
      </c>
      <c r="O297" s="243"/>
      <c r="P297" s="38"/>
      <c r="Q297" s="266">
        <f>SUMIFS(BV_Data_An_Prec!$AM:$AM,BV_Data_An_Prec!$AP:$AP,$B297,BV_Data_An_Prec!$AQ:$AQ,$C297,BV_Data_An_Prec!$AR:$AR,$L$2)</f>
        <v>0</v>
      </c>
      <c r="R297" s="243"/>
      <c r="S297" s="266">
        <f t="shared" si="50"/>
        <v>8384.16</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3687.2999999999993</v>
      </c>
      <c r="M298" s="243"/>
      <c r="N298" s="266">
        <f t="shared" si="49"/>
        <v>3687.2999999999993</v>
      </c>
      <c r="O298" s="243"/>
      <c r="P298" s="38"/>
      <c r="Q298" s="266">
        <f>SUMIFS(BV_Data_An_Prec!$AM:$AM,BV_Data_An_Prec!$AP:$AP,$B298,BV_Data_An_Prec!$AQ:$AQ,$C298,BV_Data_An_Prec!$AR:$AR,$L$2)</f>
        <v>0</v>
      </c>
      <c r="R298" s="243"/>
      <c r="S298" s="266">
        <f t="shared" si="50"/>
        <v>3687.2999999999993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301.3900000000001</v>
      </c>
      <c r="M299" s="243"/>
      <c r="N299" s="266">
        <f t="shared" si="49"/>
        <v>301.3900000000001</v>
      </c>
      <c r="O299" s="243"/>
      <c r="P299" s="38"/>
      <c r="Q299" s="266">
        <f>SUMIFS(BV_Data_An_Prec!$AM:$AM,BV_Data_An_Prec!$AP:$AP,$B299,BV_Data_An_Prec!$AQ:$AQ,$C299,BV_Data_An_Prec!$AR:$AR,$L$2)</f>
        <v>0</v>
      </c>
      <c r="R299" s="243"/>
      <c r="S299" s="266">
        <f t="shared" si="50"/>
        <v>301.3900000000001</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0.11472151835547495</v>
      </c>
      <c r="L303" s="294">
        <f>+SUM(L285:L302)</f>
        <v>19328.059999999998</v>
      </c>
      <c r="M303" s="296"/>
      <c r="N303" s="294">
        <f t="shared" si="49"/>
        <v>19328.059999999998</v>
      </c>
      <c r="O303" s="295" t="s">
        <v>171</v>
      </c>
      <c r="P303" s="293" t="e">
        <f>Q303/Q$268</f>
        <v>#DIV/0!</v>
      </c>
      <c r="Q303" s="294">
        <f>+SUM(Q285:Q302)</f>
        <v>0</v>
      </c>
      <c r="R303" s="297"/>
      <c r="S303" s="294">
        <f t="shared" si="50"/>
        <v>19328.059999999998</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0.76020617994971074</v>
      </c>
      <c r="L305" s="294">
        <f>L284+L303</f>
        <v>128078.06999999999</v>
      </c>
      <c r="M305" s="296"/>
      <c r="N305" s="294">
        <f>L305-F305</f>
        <v>128078.06999999999</v>
      </c>
      <c r="O305" s="295" t="s">
        <v>115</v>
      </c>
      <c r="P305" s="293" t="e">
        <f>Q305/Q$268</f>
        <v>#DIV/0!</v>
      </c>
      <c r="Q305" s="294">
        <f>Q284+Q303</f>
        <v>0</v>
      </c>
      <c r="R305" s="297"/>
      <c r="S305" s="294">
        <f>L305-Q305</f>
        <v>128078.06999999999</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40400.000000000044</v>
      </c>
      <c r="M307" s="960"/>
      <c r="N307" s="958">
        <f>L307-F307</f>
        <v>40400.000000000044</v>
      </c>
      <c r="O307" s="959"/>
      <c r="P307" s="957"/>
      <c r="Q307" s="958">
        <f>Q268-Q305</f>
        <v>0</v>
      </c>
      <c r="R307" s="961"/>
      <c r="S307" s="958">
        <f>L307-Q307</f>
        <v>40400.000000000044</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Juin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134630.71</v>
      </c>
      <c r="L315" s="266">
        <f>-SUMIFS(BV_Data_An_Cour!$AM:$AM,BV_Data_An_Cour!$AP:$AP,$B315,BV_Data_An_Cour!$AQ:$AQ,$C315,BV_Data_An_Cour!$AR:$AR,$L$2)</f>
        <v>45918.390000000021</v>
      </c>
      <c r="M315" s="282">
        <f>IFERROR((K315-E315)/E315,0)</f>
        <v>0</v>
      </c>
      <c r="N315" s="266">
        <f>L315-F315</f>
        <v>45918.390000000021</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45918.390000000021</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0.34106921073208352</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5478.3700000000017</v>
      </c>
      <c r="L318" s="303">
        <f>-SUMIFS(BV_Data_An_Cour!$AM:$AM,BV_Data_An_Cour!$AP:$AP,$B318,BV_Data_An_Cour!$AQ:$AQ,$C318,BV_Data_An_Cour!$AR:$AR,$L$2)</f>
        <v>1668.2000000000016</v>
      </c>
      <c r="M318" s="340">
        <f>IFERROR((K318-E318)/E318,0)</f>
        <v>0</v>
      </c>
      <c r="N318" s="303">
        <f>L318-F318</f>
        <v>1668.2000000000016</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1668.2000000000016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0.30450663244724274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-624.55999999999995</v>
      </c>
      <c r="M324" s="928"/>
      <c r="N324" s="929"/>
      <c r="O324" s="681"/>
      <c r="P324" s="38"/>
      <c r="Q324" s="266">
        <f>-SUMIFS(BV_Data_An_Prec!$AM:$AM,BV_Data_An_Prec!$AP:$AP,$B324,BV_Data_An_Prec!$AQ:$AQ,$C324,BV_Data_An_Prec!$AR:$AR,$L$2)</f>
        <v>0</v>
      </c>
      <c r="R324" s="282">
        <f>IF(O324=0,0,J324/O324)</f>
        <v>0</v>
      </c>
      <c r="S324" s="266">
        <f>L324-Q324</f>
        <v>-624.55999999999995</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140109.07999999999</v>
      </c>
      <c r="L326" s="271">
        <f>L318+L321+L315+L324</f>
        <v>46962.030000000028</v>
      </c>
      <c r="M326" s="272" t="e">
        <f>L327-F327</f>
        <v>#DIV/0!</v>
      </c>
      <c r="N326" s="271">
        <f>L326-F326</f>
        <v>46962.030000000028</v>
      </c>
      <c r="O326" s="272"/>
      <c r="P326" s="269">
        <f t="shared" ref="P326" si="52">P318+P321+P315</f>
        <v>0</v>
      </c>
      <c r="Q326" s="271">
        <f>Q318+Q321+Q315+Q324</f>
        <v>0</v>
      </c>
      <c r="R326" s="272"/>
      <c r="S326" s="271">
        <f>L326-Q326</f>
        <v>46962.030000000028</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8225.8400000000038</v>
      </c>
      <c r="M330" s="243"/>
      <c r="N330" s="266">
        <f t="shared" ref="N330:N360" si="53">L330-F330</f>
        <v>8225.8400000000038</v>
      </c>
      <c r="O330" s="243"/>
      <c r="P330" s="38"/>
      <c r="Q330" s="266">
        <f>SUMIFS(BV_Data_An_Prec!$AM:$AM,BV_Data_An_Prec!$AP:$AP,$B330,BV_Data_An_Prec!$AQ:$AQ,$C330,BV_Data_An_Prec!$AR:$AR,$L$2)</f>
        <v>0</v>
      </c>
      <c r="R330" s="243"/>
      <c r="S330" s="266">
        <f t="shared" ref="S330:S361" si="54">L330-Q330</f>
        <v>8225.8400000000038</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6344.6100000000006</v>
      </c>
      <c r="M331" s="243"/>
      <c r="N331" s="266">
        <f t="shared" si="53"/>
        <v>6344.6100000000006</v>
      </c>
      <c r="O331" s="243"/>
      <c r="P331" s="38"/>
      <c r="Q331" s="266">
        <f>SUMIFS(BV_Data_An_Prec!$AM:$AM,BV_Data_An_Prec!$AP:$AP,$B331,BV_Data_An_Prec!$AQ:$AQ,$C331,BV_Data_An_Prec!$AR:$AR,$L$2)</f>
        <v>0</v>
      </c>
      <c r="R331" s="243"/>
      <c r="S331" s="266">
        <f t="shared" si="54"/>
        <v>6344.6100000000006</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3186.6800000000003</v>
      </c>
      <c r="M337" s="243"/>
      <c r="N337" s="266">
        <f t="shared" si="53"/>
        <v>3186.6800000000003</v>
      </c>
      <c r="O337" s="243"/>
      <c r="P337" s="38"/>
      <c r="Q337" s="266">
        <f>SUMIFS(BV_Data_An_Prec!$AM:$AM,BV_Data_An_Prec!$AP:$AP,$B337,BV_Data_An_Prec!$AQ:$AQ,$C337,BV_Data_An_Prec!$AR:$AR,$L$2)</f>
        <v>0</v>
      </c>
      <c r="R337" s="243"/>
      <c r="S337" s="266">
        <f t="shared" si="54"/>
        <v>3186.6800000000003</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3851.1299999999974</v>
      </c>
      <c r="M338" s="233"/>
      <c r="N338" s="303">
        <f t="shared" si="53"/>
        <v>3851.1299999999974</v>
      </c>
      <c r="O338" s="233"/>
      <c r="P338" s="301"/>
      <c r="Q338" s="303">
        <f>SUMIFS(BV_Data_An_Prec!$AM:$AM,BV_Data_An_Prec!$AP:$AP,$B338,BV_Data_An_Prec!$AQ:$AQ,$C338,BV_Data_An_Prec!$AR:$AR,$L$2)</f>
        <v>0</v>
      </c>
      <c r="R338" s="233"/>
      <c r="S338" s="303">
        <f t="shared" si="54"/>
        <v>3851.1299999999974</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2636.1499999999996</v>
      </c>
      <c r="M339" s="243"/>
      <c r="N339" s="266">
        <f t="shared" si="53"/>
        <v>2636.1499999999996</v>
      </c>
      <c r="O339" s="243"/>
      <c r="P339" s="38"/>
      <c r="Q339" s="266">
        <f>SUMIFS(BV_Data_An_Prec!$AM:$AM,BV_Data_An_Prec!$AP:$AP,$B339,BV_Data_An_Prec!$AQ:$AQ,$C339,BV_Data_An_Prec!$AR:$AR,$L$2)</f>
        <v>0</v>
      </c>
      <c r="R339" s="243"/>
      <c r="S339" s="266">
        <f t="shared" si="54"/>
        <v>2636.1499999999996</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37.159999999999997</v>
      </c>
      <c r="M340" s="243"/>
      <c r="N340" s="266">
        <f t="shared" si="53"/>
        <v>37.159999999999997</v>
      </c>
      <c r="O340" s="243"/>
      <c r="P340" s="38"/>
      <c r="Q340" s="266">
        <f>SUMIFS(BV_Data_An_Prec!$AM:$AM,BV_Data_An_Prec!$AP:$AP,$B340,BV_Data_An_Prec!$AQ:$AQ,$C340,BV_Data_An_Prec!$AR:$AR,$L$2)</f>
        <v>0</v>
      </c>
      <c r="R340" s="243"/>
      <c r="S340" s="266">
        <f t="shared" si="54"/>
        <v>37.159999999999997</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0.51704685679047502</v>
      </c>
      <c r="L342" s="294">
        <f>+SUM(L330:L341)</f>
        <v>24281.570000000003</v>
      </c>
      <c r="M342" s="296"/>
      <c r="N342" s="294">
        <f t="shared" si="53"/>
        <v>24281.570000000003</v>
      </c>
      <c r="O342" s="295" t="s">
        <v>115</v>
      </c>
      <c r="P342" s="293">
        <f>IF(Q326=0,0,Q342/Q$326)</f>
        <v>0</v>
      </c>
      <c r="Q342" s="294">
        <f>+SUM(Q330:Q341)</f>
        <v>0</v>
      </c>
      <c r="R342" s="297"/>
      <c r="S342" s="294">
        <f t="shared" si="54"/>
        <v>24281.570000000003</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-204.39000000000016</v>
      </c>
      <c r="M343" s="243"/>
      <c r="N343" s="266">
        <f t="shared" si="53"/>
        <v>-204.39000000000016</v>
      </c>
      <c r="O343" s="243"/>
      <c r="P343" s="38"/>
      <c r="Q343" s="266">
        <f>SUMIFS(BV_Data_An_Prec!$AM:$AM,BV_Data_An_Prec!$AP:$AP,$B343,BV_Data_An_Prec!$AQ:$AQ,$C343,BV_Data_An_Prec!$AR:$AR,$L$2)</f>
        <v>0</v>
      </c>
      <c r="R343" s="243"/>
      <c r="S343" s="266">
        <f t="shared" si="54"/>
        <v>-204.39000000000016</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827.69000000000051</v>
      </c>
      <c r="M344" s="243"/>
      <c r="N344" s="266">
        <f t="shared" si="53"/>
        <v>827.69000000000051</v>
      </c>
      <c r="O344" s="243"/>
      <c r="P344" s="38"/>
      <c r="Q344" s="266">
        <f>SUMIFS(BV_Data_An_Prec!$AM:$AM,BV_Data_An_Prec!$AP:$AP,$B344,BV_Data_An_Prec!$AQ:$AQ,$C344,BV_Data_An_Prec!$AR:$AR,$L$2)</f>
        <v>0</v>
      </c>
      <c r="R344" s="243"/>
      <c r="S344" s="266">
        <f t="shared" si="54"/>
        <v>827.69000000000051</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-3170.9800000000005</v>
      </c>
      <c r="M345" s="238"/>
      <c r="N345" s="286">
        <f t="shared" si="53"/>
        <v>-3170.9800000000005</v>
      </c>
      <c r="O345" s="238"/>
      <c r="P345" s="304"/>
      <c r="Q345" s="266">
        <f>SUMIFS(BV_Data_An_Prec!$AM:$AM,BV_Data_An_Prec!$AP:$AP,$B345,BV_Data_An_Prec!$AQ:$AQ,$C345,BV_Data_An_Prec!$AR:$AR,$L$2)</f>
        <v>0</v>
      </c>
      <c r="R345" s="238"/>
      <c r="S345" s="286">
        <f t="shared" si="54"/>
        <v>-3170.9800000000005</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1374.9299999999985</v>
      </c>
      <c r="M346" s="243"/>
      <c r="N346" s="266">
        <f t="shared" si="53"/>
        <v>1374.9299999999985</v>
      </c>
      <c r="O346" s="243"/>
      <c r="P346" s="38"/>
      <c r="Q346" s="303">
        <f>SUMIFS(BV_Data_An_Prec!$AM:$AM,BV_Data_An_Prec!$AP:$AP,$B346,BV_Data_An_Prec!$AQ:$AQ,$C346,BV_Data_An_Prec!$AR:$AR,$L$2)</f>
        <v>0</v>
      </c>
      <c r="R346" s="243"/>
      <c r="S346" s="266">
        <f t="shared" si="54"/>
        <v>1374.9299999999985</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150</v>
      </c>
      <c r="M347" s="243"/>
      <c r="N347" s="266">
        <f t="shared" si="53"/>
        <v>150</v>
      </c>
      <c r="O347" s="243"/>
      <c r="P347" s="38"/>
      <c r="Q347" s="266">
        <f>SUMIFS(BV_Data_An_Prec!$AM:$AM,BV_Data_An_Prec!$AP:$AP,$B347,BV_Data_An_Prec!$AQ:$AQ,$C347,BV_Data_An_Prec!$AR:$AR,$L$2)</f>
        <v>0</v>
      </c>
      <c r="R347" s="243"/>
      <c r="S347" s="266">
        <f t="shared" si="54"/>
        <v>150</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4623.0799999999981</v>
      </c>
      <c r="M348" s="238"/>
      <c r="N348" s="286">
        <f t="shared" si="53"/>
        <v>4623.0799999999981</v>
      </c>
      <c r="O348" s="238"/>
      <c r="P348" s="304"/>
      <c r="Q348" s="266">
        <f>SUMIFS(BV_Data_An_Prec!$AM:$AM,BV_Data_An_Prec!$AP:$AP,$B348,BV_Data_An_Prec!$AQ:$AQ,$C348,BV_Data_An_Prec!$AR:$AR,$L$2)</f>
        <v>0</v>
      </c>
      <c r="R348" s="238"/>
      <c r="S348" s="286">
        <f t="shared" si="54"/>
        <v>4623.0799999999981</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488.44999999999982</v>
      </c>
      <c r="M352" s="243"/>
      <c r="N352" s="266">
        <f t="shared" si="53"/>
        <v>488.44999999999982</v>
      </c>
      <c r="O352" s="243"/>
      <c r="P352" s="38"/>
      <c r="Q352" s="266">
        <f>SUMIFS(BV_Data_An_Prec!$AM:$AM,BV_Data_An_Prec!$AP:$AP,$B352,BV_Data_An_Prec!$AQ:$AQ,$C352,BV_Data_An_Prec!$AR:$AR,$L$2)</f>
        <v>0</v>
      </c>
      <c r="R352" s="243"/>
      <c r="S352" s="266">
        <f t="shared" si="54"/>
        <v>488.44999999999982</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336.3599999999999</v>
      </c>
      <c r="M353" s="243"/>
      <c r="N353" s="266">
        <f t="shared" si="53"/>
        <v>336.3599999999999</v>
      </c>
      <c r="O353" s="243"/>
      <c r="P353" s="38"/>
      <c r="Q353" s="266">
        <f>SUMIFS(BV_Data_An_Prec!$AM:$AM,BV_Data_An_Prec!$AP:$AP,$B353,BV_Data_An_Prec!$AQ:$AQ,$C353,BV_Data_An_Prec!$AR:$AR,$L$2)</f>
        <v>0</v>
      </c>
      <c r="R353" s="243"/>
      <c r="S353" s="266">
        <f t="shared" si="54"/>
        <v>336.3599999999999</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288.04999999999995</v>
      </c>
      <c r="M354" s="243"/>
      <c r="N354" s="266">
        <f t="shared" si="53"/>
        <v>288.04999999999995</v>
      </c>
      <c r="O354" s="243"/>
      <c r="P354" s="38"/>
      <c r="Q354" s="266">
        <f>SUMIFS(BV_Data_An_Prec!$AM:$AM,BV_Data_An_Prec!$AP:$AP,$B354,BV_Data_An_Prec!$AQ:$AQ,$C354,BV_Data_An_Prec!$AR:$AR,$L$2)</f>
        <v>0</v>
      </c>
      <c r="R354" s="243"/>
      <c r="S354" s="266">
        <f t="shared" si="54"/>
        <v>288.04999999999995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1017.6999999999989</v>
      </c>
      <c r="M355" s="243"/>
      <c r="N355" s="266">
        <f t="shared" si="53"/>
        <v>1017.6999999999989</v>
      </c>
      <c r="O355" s="243"/>
      <c r="P355" s="38"/>
      <c r="Q355" s="266">
        <f>SUMIFS(BV_Data_An_Prec!$AM:$AM,BV_Data_An_Prec!$AP:$AP,$B355,BV_Data_An_Prec!$AQ:$AQ,$C355,BV_Data_An_Prec!$AR:$AR,$L$2)</f>
        <v>0</v>
      </c>
      <c r="R355" s="243"/>
      <c r="S355" s="266">
        <f t="shared" si="54"/>
        <v>1017.6999999999989</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92.759999999999991</v>
      </c>
      <c r="M357" s="243"/>
      <c r="N357" s="266">
        <f t="shared" si="53"/>
        <v>92.759999999999991</v>
      </c>
      <c r="O357" s="243"/>
      <c r="P357" s="38"/>
      <c r="Q357" s="266">
        <f>SUMIFS(BV_Data_An_Prec!$AM:$AM,BV_Data_An_Prec!$AP:$AP,$B357,BV_Data_An_Prec!$AQ:$AQ,$C357,BV_Data_An_Prec!$AR:$AR,$L$2)</f>
        <v>0</v>
      </c>
      <c r="R357" s="243"/>
      <c r="S357" s="266">
        <f t="shared" si="54"/>
        <v>92.759999999999991</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0.12400762914209611</v>
      </c>
      <c r="L361" s="294">
        <f>+SUM(L343:L360)</f>
        <v>5823.6499999999951</v>
      </c>
      <c r="M361" s="296"/>
      <c r="N361" s="294">
        <f>+SUM(N343:N360)</f>
        <v>5823.6499999999951</v>
      </c>
      <c r="O361" s="295" t="s">
        <v>115</v>
      </c>
      <c r="P361" s="293" t="e">
        <f>Q361/Q$326</f>
        <v>#DIV/0!</v>
      </c>
      <c r="Q361" s="294">
        <f>+SUM(Q343:Q360)</f>
        <v>0</v>
      </c>
      <c r="R361" s="297"/>
      <c r="S361" s="294">
        <f t="shared" si="54"/>
        <v>5823.6499999999951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0.64105448593257108</v>
      </c>
      <c r="L363" s="294">
        <f>L342+L361</f>
        <v>30105.219999999998</v>
      </c>
      <c r="M363" s="296"/>
      <c r="N363" s="294">
        <f>L363-F363</f>
        <v>30105.219999999998</v>
      </c>
      <c r="O363" s="295" t="s">
        <v>115</v>
      </c>
      <c r="P363" s="293" t="e">
        <f>Q363/Q$326</f>
        <v>#DIV/0!</v>
      </c>
      <c r="Q363" s="294">
        <f>Q342+Q361</f>
        <v>0</v>
      </c>
      <c r="R363" s="297"/>
      <c r="S363" s="294">
        <f>L363-Q363</f>
        <v>30105.219999999998</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16856.81000000003</v>
      </c>
      <c r="M365" s="960"/>
      <c r="N365" s="958">
        <f>L365-F365</f>
        <v>16856.81000000003</v>
      </c>
      <c r="O365" s="959"/>
      <c r="P365" s="957"/>
      <c r="Q365" s="958">
        <f>Q326-Q363</f>
        <v>0</v>
      </c>
      <c r="R365" s="961"/>
      <c r="S365" s="958">
        <f>L365-Q365</f>
        <v>16856.81000000003</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Juin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50774.790000000037</v>
      </c>
      <c r="K371" s="327">
        <f t="shared" ref="K371:K380" si="55">IF(J371&lt;=0,0,L371/J371)</f>
        <v>0.411652318010572</v>
      </c>
      <c r="L371" s="266">
        <f>-SUMIFS(BV_Data_An_Cour!$AM:$AM,BV_Data_An_Cour!$AP:$AP,$B371,BV_Data_An_Cour!$AQ:$AQ,$C371,BV_Data_An_Cour!$AR:$AR,$L$2)</f>
        <v>20901.560000000027</v>
      </c>
      <c r="M371" s="282" t="e">
        <f t="shared" ref="M371:M377" si="56">(+J371-D371)/D371</f>
        <v>#DIV/0!</v>
      </c>
      <c r="N371" s="266">
        <f t="shared" ref="N371:N380" si="57">L371-F371</f>
        <v>20901.560000000027</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20901.560000000027</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65686.729999999981</v>
      </c>
      <c r="K373" s="327">
        <f t="shared" si="55"/>
        <v>0.28896353951551529</v>
      </c>
      <c r="L373" s="266">
        <f>-SUMIFS(BV_Data_An_Cour!$AM:$AM,BV_Data_An_Cour!$AP:$AP,$B373,BV_Data_An_Cour!$AQ:$AQ,$C373,BV_Data_An_Cour!$AR:$AR,$L$2)</f>
        <v>18981.069999999978</v>
      </c>
      <c r="M373" s="282" t="e">
        <f t="shared" si="56"/>
        <v>#DIV/0!</v>
      </c>
      <c r="N373" s="266">
        <f t="shared" si="57"/>
        <v>18981.069999999978</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18981.069999999978</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43048.570000000007</v>
      </c>
      <c r="K374" s="327">
        <f t="shared" si="55"/>
        <v>0.31135854222335324</v>
      </c>
      <c r="L374" s="266">
        <f>-SUMIFS(BV_Data_An_Cour!$AM:$AM,BV_Data_An_Cour!$AP:$AP,$B374,BV_Data_An_Cour!$AQ:$AQ,$C374,BV_Data_An_Cour!$AR:$AR,$L$2)</f>
        <v>13403.539999999979</v>
      </c>
      <c r="M374" s="282" t="e">
        <f t="shared" si="56"/>
        <v>#DIV/0!</v>
      </c>
      <c r="N374" s="266">
        <f t="shared" si="57"/>
        <v>13403.539999999979</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13403.539999999979</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30596.850000000006</v>
      </c>
      <c r="K375" s="327">
        <f t="shared" si="55"/>
        <v>0.16901347687752163</v>
      </c>
      <c r="L375" s="266">
        <f>-SUMIFS(BV_Data_An_Cour!$AM:$AM,BV_Data_An_Cour!$AP:$AP,$B375,BV_Data_An_Cour!$AQ:$AQ,$C375,BV_Data_An_Cour!$AR:$AR,$L$2)</f>
        <v>5171.2799999999988</v>
      </c>
      <c r="M375" s="282" t="e">
        <f t="shared" si="56"/>
        <v>#DIV/0!</v>
      </c>
      <c r="N375" s="266">
        <f t="shared" si="57"/>
        <v>5171.2799999999988</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5171.2799999999988</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125132.81999999995</v>
      </c>
      <c r="K376" s="327">
        <f t="shared" si="55"/>
        <v>9.0990916691559884E-2</v>
      </c>
      <c r="L376" s="266">
        <f>-SUMIFS(BV_Data_An_Cour!$AM:$AM,BV_Data_An_Cour!$AP:$AP,$B376,BV_Data_An_Cour!$AQ:$AQ,$C376,BV_Data_An_Cour!$AR:$AR,$L$2)</f>
        <v>11385.949999999953</v>
      </c>
      <c r="M376" s="282" t="e">
        <f t="shared" si="56"/>
        <v>#DIV/0!</v>
      </c>
      <c r="N376" s="266">
        <f t="shared" si="57"/>
        <v>11385.949999999953</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11385.949999999953</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8585.1999999999971</v>
      </c>
      <c r="M378" s="282"/>
      <c r="N378" s="266">
        <f t="shared" si="57"/>
        <v>8585.1999999999971</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8585.1999999999971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5286.5500000000011</v>
      </c>
      <c r="M379" s="282"/>
      <c r="N379" s="266">
        <f t="shared" si="57"/>
        <v>5286.5500000000011</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5286.5500000000011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315239.76</v>
      </c>
      <c r="K380" s="370">
        <f t="shared" si="55"/>
        <v>0.26556025166368585</v>
      </c>
      <c r="L380" s="356">
        <f>SUM(L371:L379)</f>
        <v>83715.149999999936</v>
      </c>
      <c r="M380" s="371" t="e">
        <f>(+J380-D380)/D380</f>
        <v>#DIV/0!</v>
      </c>
      <c r="N380" s="356">
        <f t="shared" si="57"/>
        <v>83715.149999999936</v>
      </c>
      <c r="O380" s="355">
        <f t="shared" ref="O380" si="63">SUM(O371:O379)</f>
        <v>0</v>
      </c>
      <c r="P380" s="370">
        <f t="shared" si="58"/>
        <v>0</v>
      </c>
      <c r="Q380" s="356">
        <f>SUM(Q371:Q379)</f>
        <v>0</v>
      </c>
      <c r="R380" s="371">
        <f t="shared" si="59"/>
        <v>0</v>
      </c>
      <c r="S380" s="356">
        <f t="shared" si="60"/>
        <v>83715.149999999936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3313.4199999999983</v>
      </c>
      <c r="K383" s="327">
        <f t="shared" ref="K383:K385" si="64">IF(J383&lt;=0,0,L383/J383)</f>
        <v>0.14782309517054981</v>
      </c>
      <c r="L383" s="303">
        <f>-SUMIFS(BV_Data_An_Cour!$AM:$AM,BV_Data_An_Cour!$AP:$AP,$B383,BV_Data_An_Cour!$AQ:$AQ,$C383,BV_Data_An_Cour!$AR:$AR,$L$2)</f>
        <v>489.80000000000291</v>
      </c>
      <c r="M383" s="282" t="e">
        <f>(+J383-D383)/D383</f>
        <v>#DIV/0!</v>
      </c>
      <c r="N383" s="266">
        <f>L383-F383</f>
        <v>489.80000000000291</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489.80000000000291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10142.23</v>
      </c>
      <c r="K384" s="327">
        <f t="shared" si="64"/>
        <v>-1.8690169716127469E-2</v>
      </c>
      <c r="L384" s="286">
        <f>-SUMIFS(BV_Data_An_Cour!$AM:$AM,BV_Data_An_Cour!$AP:$AP,$B384,BV_Data_An_Cour!$AQ:$AQ,$C384,BV_Data_An_Cour!$AR:$AR,$L$2)</f>
        <v>-189.55999999999949</v>
      </c>
      <c r="M384" s="282" t="e">
        <f>(+J384-D384)/D384</f>
        <v>#DIV/0!</v>
      </c>
      <c r="N384" s="266">
        <f>L384-F384</f>
        <v>-189.55999999999949</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-189.55999999999949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328695.40999999997</v>
      </c>
      <c r="K385" s="370">
        <f t="shared" si="64"/>
        <v>0.25560256530506448</v>
      </c>
      <c r="L385" s="356">
        <f>L380+L383+L384</f>
        <v>84015.389999999941</v>
      </c>
      <c r="M385" s="371" t="e">
        <f>(+J385-D385)/D385</f>
        <v>#DIV/0!</v>
      </c>
      <c r="N385" s="356">
        <f>L385-F385</f>
        <v>84015.389999999941</v>
      </c>
      <c r="O385" s="357">
        <f t="shared" ref="O385" si="69">O380+O383+O384</f>
        <v>0</v>
      </c>
      <c r="P385" s="370">
        <f t="shared" si="65"/>
        <v>0</v>
      </c>
      <c r="Q385" s="356">
        <f>Q380+Q383+Q384</f>
        <v>0</v>
      </c>
      <c r="R385" s="371">
        <f t="shared" si="66"/>
        <v>0</v>
      </c>
      <c r="S385" s="356">
        <f t="shared" si="67"/>
        <v>84015.389999999941</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328695.40999999997</v>
      </c>
      <c r="K390" s="373">
        <f>IF(J390&lt;=0,0,L390/J390)</f>
        <v>0.25560256530506448</v>
      </c>
      <c r="L390" s="271">
        <f>L385+L388</f>
        <v>84015.389999999941</v>
      </c>
      <c r="M390" s="272" t="e">
        <f>(+J390-D390)/D390</f>
        <v>#DIV/0!</v>
      </c>
      <c r="N390" s="271">
        <f>L390-F390</f>
        <v>84015.389999999941</v>
      </c>
      <c r="O390" s="272">
        <f t="shared" ref="O390" si="70">O385+O388</f>
        <v>0</v>
      </c>
      <c r="P390" s="373">
        <f>IF(O390&lt;=0,0,Q390/O390)</f>
        <v>0</v>
      </c>
      <c r="Q390" s="271">
        <f>Q385+Q388</f>
        <v>0</v>
      </c>
      <c r="R390" s="363">
        <f>IF(O390=0,0,(J390-O390)/O390)</f>
        <v>0</v>
      </c>
      <c r="S390" s="271">
        <f>L390-Q390</f>
        <v>84015.389999999941</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1720.0499999999993</v>
      </c>
      <c r="M394" s="243"/>
      <c r="N394" s="246">
        <f t="shared" ref="N394:N424" si="71">L394-F394</f>
        <v>1720.0499999999993</v>
      </c>
      <c r="O394" s="243"/>
      <c r="P394" s="38"/>
      <c r="Q394" s="266">
        <f>SUMIFS(BV_Data_An_Prec!$AM:$AM,BV_Data_An_Prec!$AP:$AP,$B394,BV_Data_An_Prec!$AQ:$AQ,$C394,BV_Data_An_Prec!$AR:$AR,$L$2)</f>
        <v>0</v>
      </c>
      <c r="R394" s="243"/>
      <c r="S394" s="266">
        <f t="shared" ref="S394:S424" si="72">L394-Q394</f>
        <v>1720.0499999999993</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2768.5</v>
      </c>
      <c r="M395" s="243"/>
      <c r="N395" s="246">
        <f t="shared" si="71"/>
        <v>2768.5</v>
      </c>
      <c r="O395" s="243"/>
      <c r="P395" s="38"/>
      <c r="Q395" s="266">
        <f>SUMIFS(BV_Data_An_Prec!$AM:$AM,BV_Data_An_Prec!$AP:$AP,$B395,BV_Data_An_Prec!$AQ:$AQ,$C395,BV_Data_An_Prec!$AR:$AR,$L$2)</f>
        <v>0</v>
      </c>
      <c r="R395" s="243"/>
      <c r="S395" s="266">
        <f t="shared" si="72"/>
        <v>2768.5</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18762.459999999992</v>
      </c>
      <c r="M396" s="233"/>
      <c r="N396" s="262">
        <f t="shared" si="71"/>
        <v>18762.459999999992</v>
      </c>
      <c r="O396" s="233"/>
      <c r="P396" s="301"/>
      <c r="Q396" s="303">
        <f>SUMIFS(BV_Data_An_Prec!$AM:$AM,BV_Data_An_Prec!$AP:$AP,$B396,BV_Data_An_Prec!$AQ:$AQ,$C396,BV_Data_An_Prec!$AR:$AR,$L$2)</f>
        <v>0</v>
      </c>
      <c r="R396" s="233"/>
      <c r="S396" s="303">
        <f t="shared" si="72"/>
        <v>18762.459999999992</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2514.9500000000007</v>
      </c>
      <c r="M401" s="243"/>
      <c r="N401" s="246">
        <f t="shared" si="71"/>
        <v>2514.9500000000007</v>
      </c>
      <c r="O401" s="243"/>
      <c r="P401" s="38"/>
      <c r="Q401" s="266">
        <f>SUMIFS(BV_Data_An_Prec!$AM:$AM,BV_Data_An_Prec!$AP:$AP,$B401,BV_Data_An_Prec!$AQ:$AQ,$C401,BV_Data_An_Prec!$AR:$AR,$L$2)</f>
        <v>0</v>
      </c>
      <c r="R401" s="243"/>
      <c r="S401" s="266">
        <f t="shared" si="72"/>
        <v>2514.9500000000007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2960.4300000000021</v>
      </c>
      <c r="M402" s="233"/>
      <c r="N402" s="262">
        <f t="shared" si="71"/>
        <v>2960.4300000000021</v>
      </c>
      <c r="O402" s="233"/>
      <c r="P402" s="301"/>
      <c r="Q402" s="303">
        <f>SUMIFS(BV_Data_An_Prec!$AM:$AM,BV_Data_An_Prec!$AP:$AP,$B402,BV_Data_An_Prec!$AQ:$AQ,$C402,BV_Data_An_Prec!$AR:$AR,$L$2)</f>
        <v>0</v>
      </c>
      <c r="R402" s="233"/>
      <c r="S402" s="303">
        <f t="shared" si="72"/>
        <v>2960.4300000000021</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1395.4099999999999</v>
      </c>
      <c r="M403" s="243"/>
      <c r="N403" s="246">
        <f t="shared" si="71"/>
        <v>1395.4099999999999</v>
      </c>
      <c r="O403" s="243"/>
      <c r="P403" s="38"/>
      <c r="Q403" s="266">
        <f>SUMIFS(BV_Data_An_Prec!$AM:$AM,BV_Data_An_Prec!$AP:$AP,$B403,BV_Data_An_Prec!$AQ:$AQ,$C403,BV_Data_An_Prec!$AR:$AR,$L$2)</f>
        <v>0</v>
      </c>
      <c r="R403" s="243"/>
      <c r="S403" s="266">
        <f t="shared" si="72"/>
        <v>1395.4099999999999</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159.90999999999985</v>
      </c>
      <c r="M404" s="243"/>
      <c r="N404" s="246">
        <f t="shared" si="71"/>
        <v>159.90999999999985</v>
      </c>
      <c r="O404" s="243"/>
      <c r="P404" s="38"/>
      <c r="Q404" s="266">
        <f>SUMIFS(BV_Data_An_Prec!$AM:$AM,BV_Data_An_Prec!$AP:$AP,$B404,BV_Data_An_Prec!$AQ:$AQ,$C404,BV_Data_An_Prec!$AR:$AR,$L$2)</f>
        <v>0</v>
      </c>
      <c r="R404" s="243"/>
      <c r="S404" s="266">
        <f t="shared" si="72"/>
        <v>159.90999999999985</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0.36043051160031531</v>
      </c>
      <c r="L406" s="294">
        <f>+SUM(L394:L405)</f>
        <v>30281.709999999992</v>
      </c>
      <c r="M406" s="296"/>
      <c r="N406" s="294">
        <f t="shared" si="71"/>
        <v>30281.709999999992</v>
      </c>
      <c r="O406" s="295" t="s">
        <v>115</v>
      </c>
      <c r="P406" s="293" t="e">
        <f>Q406/Q$390</f>
        <v>#DIV/0!</v>
      </c>
      <c r="Q406" s="294">
        <f>+SUM(Q394:Q405)</f>
        <v>0</v>
      </c>
      <c r="R406" s="297"/>
      <c r="S406" s="294">
        <f t="shared" si="72"/>
        <v>30281.709999999992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865.27000000000066</v>
      </c>
      <c r="M407" s="243"/>
      <c r="N407" s="266">
        <f t="shared" si="71"/>
        <v>865.27000000000066</v>
      </c>
      <c r="O407" s="243"/>
      <c r="P407" s="38"/>
      <c r="Q407" s="266">
        <f>SUMIFS(BV_Data_An_Prec!$AM:$AM,BV_Data_An_Prec!$AP:$AP,$B407,BV_Data_An_Prec!$AQ:$AQ,$C407,BV_Data_An_Prec!$AR:$AR,$L$2)</f>
        <v>0</v>
      </c>
      <c r="R407" s="243"/>
      <c r="S407" s="266">
        <f t="shared" si="72"/>
        <v>865.27000000000066</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231.95000000000005</v>
      </c>
      <c r="M408" s="243"/>
      <c r="N408" s="266">
        <f t="shared" si="71"/>
        <v>231.95000000000005</v>
      </c>
      <c r="O408" s="243"/>
      <c r="P408" s="38"/>
      <c r="Q408" s="266">
        <f>SUMIFS(BV_Data_An_Prec!$AM:$AM,BV_Data_An_Prec!$AP:$AP,$B408,BV_Data_An_Prec!$AQ:$AQ,$C408,BV_Data_An_Prec!$AR:$AR,$L$2)</f>
        <v>0</v>
      </c>
      <c r="R408" s="243"/>
      <c r="S408" s="266">
        <f t="shared" si="72"/>
        <v>231.95000000000005</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1326.7200000000012</v>
      </c>
      <c r="M409" s="238"/>
      <c r="N409" s="286">
        <f t="shared" si="71"/>
        <v>1326.7200000000012</v>
      </c>
      <c r="O409" s="238"/>
      <c r="P409" s="304"/>
      <c r="Q409" s="286">
        <f>SUMIFS(BV_Data_An_Prec!$AM:$AM,BV_Data_An_Prec!$AP:$AP,$B409,BV_Data_An_Prec!$AQ:$AQ,$C409,BV_Data_An_Prec!$AR:$AR,$L$2)</f>
        <v>0</v>
      </c>
      <c r="R409" s="238"/>
      <c r="S409" s="286">
        <f t="shared" si="72"/>
        <v>1326.7200000000012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1891.6100000000006</v>
      </c>
      <c r="M410" s="243"/>
      <c r="N410" s="266">
        <f t="shared" si="71"/>
        <v>1891.6100000000006</v>
      </c>
      <c r="O410" s="243"/>
      <c r="P410" s="38"/>
      <c r="Q410" s="266">
        <f>SUMIFS(BV_Data_An_Prec!$AM:$AM,BV_Data_An_Prec!$AP:$AP,$B410,BV_Data_An_Prec!$AQ:$AQ,$C410,BV_Data_An_Prec!$AR:$AR,$L$2)</f>
        <v>0</v>
      </c>
      <c r="R410" s="243"/>
      <c r="S410" s="266">
        <f t="shared" si="72"/>
        <v>1891.6100000000006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150</v>
      </c>
      <c r="M411" s="243"/>
      <c r="N411" s="266">
        <f t="shared" si="71"/>
        <v>150</v>
      </c>
      <c r="O411" s="243"/>
      <c r="P411" s="38"/>
      <c r="Q411" s="266">
        <f>SUMIFS(BV_Data_An_Prec!$AM:$AM,BV_Data_An_Prec!$AP:$AP,$B411,BV_Data_An_Prec!$AQ:$AQ,$C411,BV_Data_An_Prec!$AR:$AR,$L$2)</f>
        <v>0</v>
      </c>
      <c r="R411" s="243"/>
      <c r="S411" s="266">
        <f t="shared" si="72"/>
        <v>150</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2975.6300000000006</v>
      </c>
      <c r="M412" s="238"/>
      <c r="N412" s="286">
        <f t="shared" si="71"/>
        <v>2975.6300000000006</v>
      </c>
      <c r="O412" s="238"/>
      <c r="P412" s="304"/>
      <c r="Q412" s="286">
        <f>SUMIFS(BV_Data_An_Prec!$AM:$AM,BV_Data_An_Prec!$AP:$AP,$B412,BV_Data_An_Prec!$AQ:$AQ,$C412,BV_Data_An_Prec!$AR:$AR,$L$2)</f>
        <v>0</v>
      </c>
      <c r="R412" s="238"/>
      <c r="S412" s="286">
        <f t="shared" si="72"/>
        <v>2975.6300000000006</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88.269999999999982</v>
      </c>
      <c r="M414" s="243"/>
      <c r="N414" s="266">
        <f t="shared" si="71"/>
        <v>88.269999999999982</v>
      </c>
      <c r="O414" s="243"/>
      <c r="P414" s="38"/>
      <c r="Q414" s="266">
        <f>SUMIFS(BV_Data_An_Prec!$AM:$AM,BV_Data_An_Prec!$AP:$AP,$B414,BV_Data_An_Prec!$AQ:$AQ,$C414,BV_Data_An_Prec!$AR:$AR,$L$2)</f>
        <v>0</v>
      </c>
      <c r="R414" s="243"/>
      <c r="S414" s="266">
        <f t="shared" si="72"/>
        <v>88.269999999999982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488.38000000000011</v>
      </c>
      <c r="M416" s="243"/>
      <c r="N416" s="266">
        <f t="shared" si="71"/>
        <v>488.38000000000011</v>
      </c>
      <c r="O416" s="243"/>
      <c r="P416" s="38"/>
      <c r="Q416" s="266">
        <f>SUMIFS(BV_Data_An_Prec!$AM:$AM,BV_Data_An_Prec!$AP:$AP,$B416,BV_Data_An_Prec!$AQ:$AQ,$C416,BV_Data_An_Prec!$AR:$AR,$L$2)</f>
        <v>0</v>
      </c>
      <c r="R416" s="243"/>
      <c r="S416" s="266">
        <f t="shared" si="72"/>
        <v>488.38000000000011</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336.3299999999997</v>
      </c>
      <c r="M417" s="243"/>
      <c r="N417" s="266">
        <f t="shared" si="71"/>
        <v>336.3299999999997</v>
      </c>
      <c r="O417" s="243"/>
      <c r="P417" s="38"/>
      <c r="Q417" s="266">
        <f>SUMIFS(BV_Data_An_Prec!$AM:$AM,BV_Data_An_Prec!$AP:$AP,$B417,BV_Data_An_Prec!$AQ:$AQ,$C417,BV_Data_An_Prec!$AR:$AR,$L$2)</f>
        <v>0</v>
      </c>
      <c r="R417" s="243"/>
      <c r="S417" s="266">
        <f t="shared" si="72"/>
        <v>336.3299999999997</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331.27</v>
      </c>
      <c r="M418" s="243"/>
      <c r="N418" s="266">
        <f t="shared" si="71"/>
        <v>331.27</v>
      </c>
      <c r="O418" s="243"/>
      <c r="P418" s="38"/>
      <c r="Q418" s="266">
        <f>SUMIFS(BV_Data_An_Prec!$AM:$AM,BV_Data_An_Prec!$AP:$AP,$B418,BV_Data_An_Prec!$AQ:$AQ,$C418,BV_Data_An_Prec!$AR:$AR,$L$2)</f>
        <v>0</v>
      </c>
      <c r="R418" s="243"/>
      <c r="S418" s="266">
        <f t="shared" si="72"/>
        <v>331.27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3538.4</v>
      </c>
      <c r="M419" s="243"/>
      <c r="N419" s="266">
        <f t="shared" si="71"/>
        <v>3538.4</v>
      </c>
      <c r="O419" s="243"/>
      <c r="P419" s="38"/>
      <c r="Q419" s="266">
        <f>SUMIFS(BV_Data_An_Prec!$AM:$AM,BV_Data_An_Prec!$AP:$AP,$B419,BV_Data_An_Prec!$AQ:$AQ,$C419,BV_Data_An_Prec!$AR:$AR,$L$2)</f>
        <v>0</v>
      </c>
      <c r="R419" s="243"/>
      <c r="S419" s="266">
        <f t="shared" si="72"/>
        <v>3538.4</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790.5</v>
      </c>
      <c r="M420" s="243"/>
      <c r="N420" s="266">
        <f t="shared" si="71"/>
        <v>790.5</v>
      </c>
      <c r="O420" s="243"/>
      <c r="P420" s="38"/>
      <c r="Q420" s="266">
        <f>SUMIFS(BV_Data_An_Prec!$AM:$AM,BV_Data_An_Prec!$AP:$AP,$B420,BV_Data_An_Prec!$AQ:$AQ,$C420,BV_Data_An_Prec!$AR:$AR,$L$2)</f>
        <v>0</v>
      </c>
      <c r="R420" s="243"/>
      <c r="S420" s="266">
        <f t="shared" si="72"/>
        <v>790.5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92.759999999999991</v>
      </c>
      <c r="M421" s="243"/>
      <c r="N421" s="266">
        <f t="shared" si="71"/>
        <v>92.759999999999991</v>
      </c>
      <c r="O421" s="243"/>
      <c r="P421" s="38"/>
      <c r="Q421" s="266">
        <f>SUMIFS(BV_Data_An_Prec!$AM:$AM,BV_Data_An_Prec!$AP:$AP,$B421,BV_Data_An_Prec!$AQ:$AQ,$C421,BV_Data_An_Prec!$AR:$AR,$L$2)</f>
        <v>0</v>
      </c>
      <c r="R421" s="243"/>
      <c r="S421" s="266">
        <f t="shared" si="72"/>
        <v>92.759999999999991</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0.15600820278284744</v>
      </c>
      <c r="L425" s="294">
        <f>+SUM(L407:L424)</f>
        <v>13107.090000000004</v>
      </c>
      <c r="M425" s="296"/>
      <c r="N425" s="294">
        <f>+SUM(N407:N424)</f>
        <v>13107.090000000004</v>
      </c>
      <c r="O425" s="295" t="s">
        <v>115</v>
      </c>
      <c r="P425" s="293" t="e">
        <f>Q425/Q$390</f>
        <v>#DIV/0!</v>
      </c>
      <c r="Q425" s="294">
        <f>+SUM(Q407:Q424)</f>
        <v>0</v>
      </c>
      <c r="R425" s="297"/>
      <c r="S425" s="294">
        <f>+SUM(S407:S424)</f>
        <v>13107.090000000004</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0.51643871438316269</v>
      </c>
      <c r="L427" s="294">
        <f>L406+L425</f>
        <v>43388.799999999996</v>
      </c>
      <c r="M427" s="296"/>
      <c r="N427" s="294">
        <f>L427-F427</f>
        <v>43388.799999999996</v>
      </c>
      <c r="O427" s="295" t="s">
        <v>115</v>
      </c>
      <c r="P427" s="293" t="e">
        <f>Q427/Q$390</f>
        <v>#DIV/0!</v>
      </c>
      <c r="Q427" s="294">
        <f>Q406+Q425</f>
        <v>0</v>
      </c>
      <c r="R427" s="297"/>
      <c r="S427" s="294">
        <f>L427-Q427</f>
        <v>43388.799999999996</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40626.589999999946</v>
      </c>
      <c r="M429" s="960"/>
      <c r="N429" s="958">
        <f>L429-F429</f>
        <v>40626.589999999946</v>
      </c>
      <c r="O429" s="959"/>
      <c r="P429" s="957"/>
      <c r="Q429" s="958">
        <f>Q390-Q427</f>
        <v>0</v>
      </c>
      <c r="R429" s="961"/>
      <c r="S429" s="958">
        <f>L429-Q429</f>
        <v>40626.589999999946</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Juin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546</v>
      </c>
      <c r="K440" s="336">
        <f>-SUMIFS(BV_Data_An_Cour!$AM:$AM,BV_Data_An_Cour!$AS:$AS,"Oui",BV_Data_An_Cour!$AP:$AP,$B440,BV_Data_An_Cour!$AQ:$AQ,$C440)</f>
        <v>79714.150000000023</v>
      </c>
      <c r="L440" s="303">
        <f>-SUMIFS(BV_Data_An_Cour!$AM:$AM,BV_Data_An_Cour!$AP:$AP,$B440,BV_Data_An_Cour!$AQ:$AQ,$C440,BV_Data_An_Cour!$AR:$AR,$L$2)</f>
        <v>59632.690000000017</v>
      </c>
      <c r="M440" s="340">
        <f>IFERROR((K440-E440)/E440,0)</f>
        <v>0</v>
      </c>
      <c r="N440" s="303">
        <f>L440-F440</f>
        <v>59632.690000000017</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59632.690000000017</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0.74808161411744334</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13</v>
      </c>
      <c r="K443" s="281">
        <f>-SUMIFS(BV_Data_An_Cour!$AM:$AM,BV_Data_An_Cour!$AS:$AS,"Oui",BV_Data_An_Cour!$AP:$AP,$B443,BV_Data_An_Cour!$AQ:$AQ,$C443)</f>
        <v>1500</v>
      </c>
      <c r="L443" s="266">
        <f>-SUMIFS(BV_Data_An_Cour!$AM:$AM,BV_Data_An_Cour!$AP:$AP,$B443,BV_Data_An_Cour!$AQ:$AQ,$C443,BV_Data_An_Cour!$AR:$AR,$L$2)</f>
        <v>1049.97</v>
      </c>
      <c r="M443" s="282">
        <f>IFERROR((K443-E443)/E443,0)</f>
        <v>0</v>
      </c>
      <c r="N443" s="303">
        <f>L443-F443</f>
        <v>1049.97</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1049.97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0.69998000000000005</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81214.150000000023</v>
      </c>
      <c r="L448" s="271">
        <f>L437+L440+L443</f>
        <v>60682.660000000018</v>
      </c>
      <c r="M448" s="272"/>
      <c r="N448" s="271"/>
      <c r="O448" s="272"/>
      <c r="P448" s="269">
        <f>P437+P440+P443</f>
        <v>0</v>
      </c>
      <c r="Q448" s="271">
        <f>Q437+Q440+Q443</f>
        <v>0</v>
      </c>
      <c r="R448" s="272">
        <f>IF(O448=0,0,(J448-O448)/O448)</f>
        <v>0</v>
      </c>
      <c r="S448" s="271">
        <f>L448-Q448</f>
        <v>60682.660000000018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0.7471931923193188</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60682.660000000018</v>
      </c>
      <c r="M486" s="960"/>
      <c r="N486" s="958"/>
      <c r="O486" s="959"/>
      <c r="P486" s="957"/>
      <c r="Q486" s="958">
        <f>Q448-Q484</f>
        <v>0</v>
      </c>
      <c r="R486" s="961"/>
      <c r="S486" s="958">
        <f>L486-Q486</f>
        <v>60682.660000000018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Juin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30408379.140000001</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2.5850969773195027E-2</v>
      </c>
      <c r="AE494" s="393"/>
      <c r="AF494" s="391">
        <f>L27+L109+L182+L268+L326+L390+L448</f>
        <v>786086.08999999415</v>
      </c>
      <c r="AG494" s="392"/>
      <c r="AH494" s="393" t="e">
        <f>AF494-Z494</f>
        <v>#REF!</v>
      </c>
      <c r="AI494" s="394" t="e">
        <f>AH494/Z494</f>
        <v>#REF!</v>
      </c>
      <c r="AJ494" s="754" t="e">
        <f>AL494/AL493</f>
        <v>#DIV/0!</v>
      </c>
      <c r="AK494" s="393"/>
      <c r="AL494" s="391">
        <f>Q27+Q109+Q182+Q268+Q326+Q390+Q448</f>
        <v>0</v>
      </c>
      <c r="AM494" s="395"/>
      <c r="AN494" s="393">
        <f>AF494-AL494</f>
        <v>786086.08999999415</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914.8585365853661</v>
      </c>
      <c r="AF496" s="399">
        <f t="shared" ref="AF496:AF502" si="76">+SUMIF($C:$C,$V496,L:L)</f>
        <v>75018.400000000023</v>
      </c>
      <c r="AG496" s="400" t="e">
        <f t="shared" ref="AG496:AG505" si="77">AE496-Y496</f>
        <v>#DIV/0!</v>
      </c>
      <c r="AH496" s="401">
        <f t="shared" ref="AH496:AH505" si="78">AF496-Z496</f>
        <v>75018.400000000023</v>
      </c>
      <c r="AI496" s="402">
        <f t="shared" ref="AI496:AI505" si="79">IF(Z496=0,0,AH496/Z496)</f>
        <v>0</v>
      </c>
      <c r="AJ496" s="407"/>
      <c r="AK496" s="401">
        <f>IF(AL496=0,0,AL496/(O$13+O$97))</f>
        <v>0</v>
      </c>
      <c r="AL496" s="399">
        <f>SUMIFS(BV_Data_An_Prec!$AM:$AM,BV_Data_An_Prec!$AQ:$AQ,$V496)</f>
        <v>0</v>
      </c>
      <c r="AM496" s="403">
        <f>AE496-AK496</f>
        <v>914.8585365853661</v>
      </c>
      <c r="AN496" s="401">
        <f>AF496-AL496</f>
        <v>75018.400000000023</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190.73878048780477</v>
      </c>
      <c r="AF497" s="383">
        <f t="shared" si="76"/>
        <v>15640.579999999993</v>
      </c>
      <c r="AG497" s="384" t="e">
        <f t="shared" si="77"/>
        <v>#DIV/0!</v>
      </c>
      <c r="AH497" s="385">
        <f t="shared" si="78"/>
        <v>15640.579999999993</v>
      </c>
      <c r="AI497" s="412">
        <f t="shared" si="79"/>
        <v>0</v>
      </c>
      <c r="AJ497" s="411"/>
      <c r="AK497" s="385">
        <f t="shared" ref="AK497:AK504" si="81">IF(AL497=0,0,AL497/(O$13+O$97))</f>
        <v>0</v>
      </c>
      <c r="AL497" s="383">
        <f>SUMIFS(BV_Data_An_Prec!$AM:$AM,BV_Data_An_Prec!$AQ:$AQ,$V497)</f>
        <v>0</v>
      </c>
      <c r="AM497" s="993">
        <f t="shared" ref="AM497:AM504" si="82">AE497-AK497</f>
        <v>190.73878048780477</v>
      </c>
      <c r="AN497" s="385">
        <f t="shared" ref="AN497:AN504" si="83">AF497-AL497</f>
        <v>15640.579999999993</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-37.764634146341464</v>
      </c>
      <c r="AF498" s="399">
        <f t="shared" si="76"/>
        <v>-3096.7000000000003</v>
      </c>
      <c r="AG498" s="400" t="e">
        <f t="shared" si="77"/>
        <v>#DIV/0!</v>
      </c>
      <c r="AH498" s="401">
        <f t="shared" si="78"/>
        <v>-3096.7000000000003</v>
      </c>
      <c r="AI498" s="402">
        <f t="shared" si="79"/>
        <v>0</v>
      </c>
      <c r="AJ498" s="407"/>
      <c r="AK498" s="401">
        <f t="shared" si="81"/>
        <v>0</v>
      </c>
      <c r="AL498" s="399">
        <f>SUMIFS(BV_Data_An_Prec!$AM:$AM,BV_Data_An_Prec!$AQ:$AQ,$V498)</f>
        <v>0</v>
      </c>
      <c r="AM498" s="403">
        <f t="shared" si="82"/>
        <v>-37.764634146341464</v>
      </c>
      <c r="AN498" s="401">
        <f t="shared" si="83"/>
        <v>-3096.7000000000003</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1.0971951219512226</v>
      </c>
      <c r="AF499" s="399">
        <f t="shared" si="76"/>
        <v>89.970000000000255</v>
      </c>
      <c r="AG499" s="400" t="e">
        <f t="shared" si="77"/>
        <v>#DIV/0!</v>
      </c>
      <c r="AH499" s="401">
        <f t="shared" si="78"/>
        <v>89.970000000000255</v>
      </c>
      <c r="AI499" s="402">
        <f t="shared" si="79"/>
        <v>0</v>
      </c>
      <c r="AJ499" s="407"/>
      <c r="AK499" s="401">
        <f t="shared" si="81"/>
        <v>0</v>
      </c>
      <c r="AL499" s="399">
        <f>SUMIFS(BV_Data_An_Prec!$AM:$AM,BV_Data_An_Prec!$AQ:$AQ,$V499)</f>
        <v>0</v>
      </c>
      <c r="AM499" s="403">
        <f t="shared" si="82"/>
        <v>1.0971951219512226</v>
      </c>
      <c r="AN499" s="401">
        <f t="shared" si="83"/>
        <v>89.970000000000255</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-1408.8823170731707</v>
      </c>
      <c r="AF501" s="399">
        <f t="shared" si="76"/>
        <v>-115528.34999999999</v>
      </c>
      <c r="AG501" s="400" t="e">
        <f t="shared" si="77"/>
        <v>#DIV/0!</v>
      </c>
      <c r="AH501" s="401">
        <f t="shared" si="78"/>
        <v>-115528.34999999999</v>
      </c>
      <c r="AI501" s="402">
        <f t="shared" si="79"/>
        <v>0</v>
      </c>
      <c r="AJ501" s="407"/>
      <c r="AK501" s="401">
        <f t="shared" si="81"/>
        <v>0</v>
      </c>
      <c r="AL501" s="399">
        <f>SUMIFS(BV_Data_An_Prec!$AM:$AM,BV_Data_An_Prec!$AQ:$AQ,$V501)</f>
        <v>0</v>
      </c>
      <c r="AM501" s="403">
        <f t="shared" si="82"/>
        <v>-1408.8823170731707</v>
      </c>
      <c r="AN501" s="401">
        <f t="shared" si="83"/>
        <v>-115528.34999999999</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1908.2979268292686</v>
      </c>
      <c r="AF502" s="399">
        <f t="shared" si="76"/>
        <v>156480.43000000002</v>
      </c>
      <c r="AG502" s="704" t="e">
        <f t="shared" si="77"/>
        <v>#DIV/0!</v>
      </c>
      <c r="AH502" s="659">
        <f t="shared" si="78"/>
        <v>156480.43000000002</v>
      </c>
      <c r="AI502" s="402">
        <f t="shared" si="79"/>
        <v>0</v>
      </c>
      <c r="AJ502" s="407"/>
      <c r="AK502" s="401">
        <f t="shared" si="81"/>
        <v>0</v>
      </c>
      <c r="AL502" s="399">
        <f>SUMIFS(BV_Data_An_Prec!$AM:$AM,BV_Data_An_Prec!$AQ:$AQ,$V502)</f>
        <v>0</v>
      </c>
      <c r="AM502" s="403">
        <f t="shared" si="82"/>
        <v>1908.2979268292686</v>
      </c>
      <c r="AN502" s="401">
        <f t="shared" si="83"/>
        <v>156480.43000000002</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-2532.5174390243897</v>
      </c>
      <c r="AF503" s="399">
        <f>IFERROR(SUMIF($C:$C,$V503,L:L),0)</f>
        <v>-207666.42999999993</v>
      </c>
      <c r="AG503" s="400" t="e">
        <f t="shared" si="77"/>
        <v>#DIV/0!</v>
      </c>
      <c r="AH503" s="401">
        <f t="shared" si="78"/>
        <v>-207666.42999999993</v>
      </c>
      <c r="AI503" s="402">
        <f t="shared" si="79"/>
        <v>0</v>
      </c>
      <c r="AJ503" s="407"/>
      <c r="AK503" s="401">
        <f t="shared" si="81"/>
        <v>0</v>
      </c>
      <c r="AL503" s="399">
        <f>SUMIFS(BV_Data_An_Prec!$AM:$AM,BV_Data_An_Prec!$AQ:$AQ,$V503)</f>
        <v>0</v>
      </c>
      <c r="AM503" s="403">
        <f>AE503-AK503</f>
        <v>-2532.5174390243897</v>
      </c>
      <c r="AN503" s="401">
        <f t="shared" si="83"/>
        <v>-207666.42999999993</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-0.10057689737265352</v>
      </c>
      <c r="AE506" s="419"/>
      <c r="AF506" s="416">
        <f>SUM(AF496:AF505)</f>
        <v>-79062.099999999889</v>
      </c>
      <c r="AG506" s="418"/>
      <c r="AH506" s="419">
        <f t="shared" ref="AH506:AH538" si="88">AF506-Z506</f>
        <v>-79062.099999999889</v>
      </c>
      <c r="AI506" s="415" t="e">
        <f>AH506/Z506</f>
        <v>#DIV/0!</v>
      </c>
      <c r="AJ506" s="417" t="e">
        <f>AL506/AL494</f>
        <v>#DIV/0!</v>
      </c>
      <c r="AK506" s="419"/>
      <c r="AL506" s="416">
        <f>SUM(AL496:AL505)</f>
        <v>0</v>
      </c>
      <c r="AM506" s="423"/>
      <c r="AN506" s="419">
        <f t="shared" si="86"/>
        <v>-79062.099999999889</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208477.35</v>
      </c>
      <c r="AG507" s="400"/>
      <c r="AH507" s="401">
        <f t="shared" si="88"/>
        <v>208477.35</v>
      </c>
      <c r="AI507" s="402">
        <f t="shared" ref="AI507:AI519" si="89">IF(Z507=0,0,AH507/Z507)</f>
        <v>0</v>
      </c>
      <c r="AJ507" s="407"/>
      <c r="AK507" s="406"/>
      <c r="AL507" s="399">
        <f>SUMIFS(BV_Data_An_Prec!$AM:$AM,BV_Data_An_Prec!$AQ:$AQ,$V507)</f>
        <v>0</v>
      </c>
      <c r="AM507" s="403"/>
      <c r="AN507" s="401">
        <f t="shared" si="86"/>
        <v>208477.35</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-15054.879999999994</v>
      </c>
      <c r="AG508" s="400"/>
      <c r="AH508" s="401">
        <f t="shared" si="88"/>
        <v>-15054.879999999994</v>
      </c>
      <c r="AI508" s="402">
        <f t="shared" si="89"/>
        <v>0</v>
      </c>
      <c r="AJ508" s="407"/>
      <c r="AK508" s="406"/>
      <c r="AL508" s="399">
        <f>SUMIFS(BV_Data_An_Prec!$AM:$AM,BV_Data_An_Prec!$AQ:$AQ,$V508)</f>
        <v>0</v>
      </c>
      <c r="AM508" s="403"/>
      <c r="AN508" s="401">
        <f t="shared" si="86"/>
        <v>-15054.879999999994</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80200.86</v>
      </c>
      <c r="AG509" s="384"/>
      <c r="AH509" s="385">
        <f t="shared" si="88"/>
        <v>80200.86</v>
      </c>
      <c r="AI509" s="412">
        <f t="shared" si="89"/>
        <v>0</v>
      </c>
      <c r="AJ509" s="411"/>
      <c r="AK509" s="410"/>
      <c r="AL509" s="383">
        <f>SUMIFS(BV_Data_An_Prec!$AM:$AM,BV_Data_An_Prec!$AQ:$AQ,$V509)</f>
        <v>0</v>
      </c>
      <c r="AM509" s="387"/>
      <c r="AN509" s="385">
        <f t="shared" si="86"/>
        <v>80200.86</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87496.33</v>
      </c>
      <c r="AG510" s="400"/>
      <c r="AH510" s="401">
        <f t="shared" si="88"/>
        <v>87496.33</v>
      </c>
      <c r="AI510" s="402">
        <f t="shared" si="89"/>
        <v>0</v>
      </c>
      <c r="AJ510" s="407"/>
      <c r="AK510" s="406"/>
      <c r="AL510" s="399">
        <f>SUMIFS(BV_Data_An_Prec!$AM:$AM,BV_Data_An_Prec!$AQ:$AQ,$V510)</f>
        <v>0</v>
      </c>
      <c r="AM510" s="403"/>
      <c r="AN510" s="401">
        <f t="shared" si="86"/>
        <v>87496.33</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42112.86</v>
      </c>
      <c r="AG515" s="384"/>
      <c r="AH515" s="385">
        <f t="shared" si="88"/>
        <v>42112.86</v>
      </c>
      <c r="AI515" s="412">
        <f t="shared" si="89"/>
        <v>0</v>
      </c>
      <c r="AJ515" s="411"/>
      <c r="AK515" s="410"/>
      <c r="AL515" s="383">
        <f>SUMIFS(BV_Data_An_Prec!$AM:$AM,BV_Data_An_Prec!$AQ:$AQ,$V515)</f>
        <v>0</v>
      </c>
      <c r="AM515" s="387"/>
      <c r="AN515" s="385">
        <f t="shared" si="86"/>
        <v>42112.86</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50892.539999999994</v>
      </c>
      <c r="AG516" s="400"/>
      <c r="AH516" s="401">
        <f t="shared" si="88"/>
        <v>50892.539999999994</v>
      </c>
      <c r="AI516" s="402">
        <f t="shared" si="89"/>
        <v>0</v>
      </c>
      <c r="AJ516" s="407"/>
      <c r="AK516" s="406"/>
      <c r="AL516" s="399">
        <f>SUMIFS(BV_Data_An_Prec!$AM:$AM,BV_Data_An_Prec!$AQ:$AQ,$V516)</f>
        <v>0</v>
      </c>
      <c r="AM516" s="403"/>
      <c r="AN516" s="401">
        <f t="shared" si="86"/>
        <v>50892.539999999994</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28531.739999999994</v>
      </c>
      <c r="AG517" s="400"/>
      <c r="AH517" s="401">
        <f t="shared" si="88"/>
        <v>28531.739999999994</v>
      </c>
      <c r="AI517" s="402">
        <f t="shared" si="89"/>
        <v>0</v>
      </c>
      <c r="AJ517" s="407"/>
      <c r="AK517" s="406"/>
      <c r="AL517" s="399">
        <f>SUMIFS(BV_Data_An_Prec!$AM:$AM,BV_Data_An_Prec!$AQ:$AQ,$V517)</f>
        <v>0</v>
      </c>
      <c r="AM517" s="403"/>
      <c r="AN517" s="401">
        <f t="shared" si="86"/>
        <v>28531.739999999994</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1208.7599999999993</v>
      </c>
      <c r="AG518" s="400"/>
      <c r="AH518" s="401">
        <f t="shared" si="88"/>
        <v>1208.7599999999993</v>
      </c>
      <c r="AI518" s="420">
        <f t="shared" si="89"/>
        <v>0</v>
      </c>
      <c r="AJ518" s="407"/>
      <c r="AK518" s="406"/>
      <c r="AL518" s="399">
        <f>SUMIFS(BV_Data_An_Prec!$AM:$AM,BV_Data_An_Prec!$AQ:$AQ,$V518)</f>
        <v>0</v>
      </c>
      <c r="AM518" s="403"/>
      <c r="AN518" s="401">
        <f t="shared" si="86"/>
        <v>1208.7599999999993</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0.61553761878677127</v>
      </c>
      <c r="AE520" s="421"/>
      <c r="AF520" s="416">
        <f>SUM(AF507:AF519)</f>
        <v>483865.56</v>
      </c>
      <c r="AG520" s="418"/>
      <c r="AH520" s="419">
        <f t="shared" si="88"/>
        <v>483865.56</v>
      </c>
      <c r="AI520" s="415" t="e">
        <f>AH520/Z520</f>
        <v>#DIV/0!</v>
      </c>
      <c r="AJ520" s="417" t="e">
        <f>AL520/AL494</f>
        <v>#DIV/0!</v>
      </c>
      <c r="AK520" s="421"/>
      <c r="AL520" s="416">
        <f>SUM(AL507:AL519)</f>
        <v>0</v>
      </c>
      <c r="AM520" s="423"/>
      <c r="AN520" s="419">
        <f t="shared" si="86"/>
        <v>483865.56</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1287.2700000000009</v>
      </c>
      <c r="AG521" s="427"/>
      <c r="AH521" s="429">
        <f t="shared" si="88"/>
        <v>1287.2700000000009</v>
      </c>
      <c r="AI521" s="430">
        <f t="shared" ref="AI521:AI538" si="92">IF(Z521=0,0,AH521/Z521)</f>
        <v>0</v>
      </c>
      <c r="AJ521" s="427"/>
      <c r="AK521" s="428"/>
      <c r="AL521" s="426">
        <f>SUMIFS(BV_Data_An_Prec!$AM:$AM,BV_Data_An_Prec!$AQ:$AQ,$V521)</f>
        <v>0</v>
      </c>
      <c r="AM521" s="431"/>
      <c r="AN521" s="429">
        <f t="shared" si="86"/>
        <v>1287.2700000000009</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1525.3700000000001</v>
      </c>
      <c r="AG522" s="400"/>
      <c r="AH522" s="401">
        <f t="shared" si="88"/>
        <v>1525.3700000000001</v>
      </c>
      <c r="AI522" s="402">
        <f t="shared" si="92"/>
        <v>0</v>
      </c>
      <c r="AJ522" s="407"/>
      <c r="AK522" s="406"/>
      <c r="AL522" s="399">
        <f>SUMIFS(BV_Data_An_Prec!$AM:$AM,BV_Data_An_Prec!$AQ:$AQ,$V522)</f>
        <v>0</v>
      </c>
      <c r="AM522" s="403"/>
      <c r="AN522" s="401">
        <f t="shared" si="86"/>
        <v>1525.3700000000001</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-3272.1299999999928</v>
      </c>
      <c r="AG523" s="384"/>
      <c r="AH523" s="385">
        <f t="shared" si="88"/>
        <v>-3272.1299999999928</v>
      </c>
      <c r="AI523" s="412">
        <f t="shared" si="92"/>
        <v>0</v>
      </c>
      <c r="AJ523" s="411"/>
      <c r="AK523" s="410"/>
      <c r="AL523" s="383">
        <f>SUMIFS(BV_Data_An_Prec!$AM:$AM,BV_Data_An_Prec!$AQ:$AQ,$V523)</f>
        <v>0</v>
      </c>
      <c r="AM523" s="387"/>
      <c r="AN523" s="385">
        <f t="shared" si="86"/>
        <v>-3272.1299999999928</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12884.160000000002</v>
      </c>
      <c r="AG524" s="400"/>
      <c r="AH524" s="401">
        <f t="shared" si="88"/>
        <v>12884.160000000002</v>
      </c>
      <c r="AI524" s="402">
        <f t="shared" si="92"/>
        <v>0</v>
      </c>
      <c r="AJ524" s="407"/>
      <c r="AK524" s="406"/>
      <c r="AL524" s="399">
        <f>SUMIFS(BV_Data_An_Prec!$AM:$AM,BV_Data_An_Prec!$AQ:$AQ,$V524)</f>
        <v>0</v>
      </c>
      <c r="AM524" s="403"/>
      <c r="AN524" s="401">
        <f t="shared" si="86"/>
        <v>12884.160000000002</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2414.3200000000002</v>
      </c>
      <c r="AG525" s="400"/>
      <c r="AH525" s="401">
        <f t="shared" si="88"/>
        <v>2414.3200000000002</v>
      </c>
      <c r="AI525" s="402">
        <f t="shared" si="92"/>
        <v>0</v>
      </c>
      <c r="AJ525" s="407"/>
      <c r="AK525" s="406"/>
      <c r="AL525" s="399">
        <f>SUMIFS(BV_Data_An_Prec!$AM:$AM,BV_Data_An_Prec!$AQ:$AQ,$V525)</f>
        <v>0</v>
      </c>
      <c r="AM525" s="403"/>
      <c r="AN525" s="401">
        <f t="shared" si="86"/>
        <v>2414.3200000000002</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34144.749999999985</v>
      </c>
      <c r="AG526" s="400"/>
      <c r="AH526" s="401">
        <f t="shared" si="88"/>
        <v>34144.749999999985</v>
      </c>
      <c r="AI526" s="402">
        <f t="shared" si="92"/>
        <v>0</v>
      </c>
      <c r="AJ526" s="407"/>
      <c r="AK526" s="406"/>
      <c r="AL526" s="399">
        <f>SUMIFS(BV_Data_An_Prec!$AM:$AM,BV_Data_An_Prec!$AQ:$AQ,$V526)</f>
        <v>0</v>
      </c>
      <c r="AM526" s="403"/>
      <c r="AN526" s="401">
        <f t="shared" si="86"/>
        <v>34144.749999999985</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48.769999999999072</v>
      </c>
      <c r="AG528" s="400"/>
      <c r="AH528" s="401">
        <f t="shared" si="88"/>
        <v>48.769999999999072</v>
      </c>
      <c r="AI528" s="402">
        <f t="shared" si="92"/>
        <v>0</v>
      </c>
      <c r="AJ528" s="407"/>
      <c r="AK528" s="406"/>
      <c r="AL528" s="399">
        <f>SUMIFS(BV_Data_An_Prec!$AM:$AM,BV_Data_An_Prec!$AQ:$AQ,$V528)</f>
        <v>0</v>
      </c>
      <c r="AM528" s="403"/>
      <c r="AN528" s="401">
        <f t="shared" si="86"/>
        <v>48.769999999999072</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6508.1100000000006</v>
      </c>
      <c r="AG530" s="400"/>
      <c r="AH530" s="401">
        <f t="shared" si="88"/>
        <v>6508.1100000000006</v>
      </c>
      <c r="AI530" s="402">
        <f t="shared" si="92"/>
        <v>0</v>
      </c>
      <c r="AJ530" s="407"/>
      <c r="AK530" s="406"/>
      <c r="AL530" s="399">
        <f>SUMIFS(BV_Data_An_Prec!$AM:$AM,BV_Data_An_Prec!$AQ:$AQ,$V530)</f>
        <v>0</v>
      </c>
      <c r="AM530" s="403"/>
      <c r="AN530" s="401">
        <f t="shared" si="86"/>
        <v>6508.1100000000006</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3883.4999999999991</v>
      </c>
      <c r="AG531" s="400"/>
      <c r="AH531" s="401">
        <f t="shared" si="88"/>
        <v>3883.4999999999991</v>
      </c>
      <c r="AI531" s="420">
        <f t="shared" si="92"/>
        <v>0</v>
      </c>
      <c r="AJ531" s="407"/>
      <c r="AK531" s="406"/>
      <c r="AL531" s="399">
        <f>SUMIFS(BV_Data_An_Prec!$AM:$AM,BV_Data_An_Prec!$AQ:$AQ,$V531)</f>
        <v>0</v>
      </c>
      <c r="AM531" s="403"/>
      <c r="AN531" s="401">
        <f t="shared" si="86"/>
        <v>3883.4999999999991</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3834.0100000000007</v>
      </c>
      <c r="AG532" s="400"/>
      <c r="AH532" s="401">
        <f t="shared" si="88"/>
        <v>3834.0100000000007</v>
      </c>
      <c r="AI532" s="402">
        <f t="shared" si="92"/>
        <v>0</v>
      </c>
      <c r="AJ532" s="407"/>
      <c r="AK532" s="406"/>
      <c r="AL532" s="399">
        <f>SUMIFS(BV_Data_An_Prec!$AM:$AM,BV_Data_An_Prec!$AQ:$AQ,$V532)</f>
        <v>0</v>
      </c>
      <c r="AM532" s="403"/>
      <c r="AN532" s="401">
        <f t="shared" si="86"/>
        <v>3834.0100000000007</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34176.659999999996</v>
      </c>
      <c r="AG533" s="400"/>
      <c r="AH533" s="401">
        <f t="shared" si="88"/>
        <v>34176.659999999996</v>
      </c>
      <c r="AI533" s="420">
        <f t="shared" si="92"/>
        <v>0</v>
      </c>
      <c r="AJ533" s="407"/>
      <c r="AK533" s="406"/>
      <c r="AL533" s="399">
        <f>SUMIFS(BV_Data_An_Prec!$AM:$AM,BV_Data_An_Prec!$AQ:$AQ,$V533)</f>
        <v>0</v>
      </c>
      <c r="AM533" s="403"/>
      <c r="AN533" s="401">
        <f t="shared" si="86"/>
        <v>34176.659999999996</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5142.829999999999</v>
      </c>
      <c r="AG534" s="400"/>
      <c r="AH534" s="401">
        <f t="shared" si="88"/>
        <v>5142.829999999999</v>
      </c>
      <c r="AI534" s="402">
        <f t="shared" si="92"/>
        <v>0</v>
      </c>
      <c r="AJ534" s="407"/>
      <c r="AK534" s="406"/>
      <c r="AL534" s="399">
        <f>SUMIFS(BV_Data_An_Prec!$AM:$AM,BV_Data_An_Prec!$AQ:$AQ,$V534)</f>
        <v>0</v>
      </c>
      <c r="AM534" s="403"/>
      <c r="AN534" s="401">
        <f t="shared" si="86"/>
        <v>5142.829999999999</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950.72000000000025</v>
      </c>
      <c r="AG535" s="400"/>
      <c r="AH535" s="659">
        <f t="shared" si="88"/>
        <v>950.72000000000025</v>
      </c>
      <c r="AI535" s="402">
        <f t="shared" si="92"/>
        <v>0</v>
      </c>
      <c r="AJ535" s="407"/>
      <c r="AK535" s="406"/>
      <c r="AL535" s="399">
        <f>SUMIFS(BV_Data_An_Prec!$AM:$AM,BV_Data_An_Prec!$AQ:$AQ,$V535)</f>
        <v>0</v>
      </c>
      <c r="AM535" s="403"/>
      <c r="AN535" s="401">
        <f t="shared" si="86"/>
        <v>950.72000000000025</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0.13170102017706578</v>
      </c>
      <c r="AE539" s="414"/>
      <c r="AF539" s="416">
        <f>+SUM(AF521:AF538)</f>
        <v>103528.33999999998</v>
      </c>
      <c r="AG539" s="422"/>
      <c r="AH539" s="435">
        <f>+SUM(AH521:AH538)</f>
        <v>103528.33999999998</v>
      </c>
      <c r="AI539" s="415" t="e">
        <f>AH539/Z539</f>
        <v>#DIV/0!</v>
      </c>
      <c r="AJ539" s="417" t="e">
        <f>AL539/AL494</f>
        <v>#DIV/0!</v>
      </c>
      <c r="AK539" s="414"/>
      <c r="AL539" s="416">
        <f>+SUM(AL521:AL538)</f>
        <v>0</v>
      </c>
      <c r="AM539" s="423"/>
      <c r="AN539" s="419">
        <f t="shared" si="86"/>
        <v>103528.33999999998</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110200</v>
      </c>
      <c r="AG540" s="400"/>
      <c r="AH540" s="401">
        <f t="shared" ref="AH540:AH548" si="94">AF540-Z540</f>
        <v>110200</v>
      </c>
      <c r="AI540" s="402">
        <f t="shared" ref="AI540:AI548" si="95">IF(Z540=0,0,AH540/Z540)</f>
        <v>0</v>
      </c>
      <c r="AJ540" s="407"/>
      <c r="AK540" s="406"/>
      <c r="AL540" s="399">
        <f>SUMIFS(BV_Data_An_Prec!$AM:$AM,BV_Data_An_Prec!$AQ:$AQ,$V540)</f>
        <v>0</v>
      </c>
      <c r="AM540" s="403"/>
      <c r="AN540" s="401">
        <f t="shared" si="86"/>
        <v>110200</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4558</v>
      </c>
      <c r="AG541" s="400"/>
      <c r="AH541" s="401">
        <f t="shared" si="94"/>
        <v>4558</v>
      </c>
      <c r="AI541" s="402">
        <f t="shared" si="95"/>
        <v>0</v>
      </c>
      <c r="AJ541" s="407"/>
      <c r="AK541" s="406"/>
      <c r="AL541" s="399">
        <f>SUMIFS(BV_Data_An_Prec!$AM:$AM,BV_Data_An_Prec!$AQ:$AQ,$V541)</f>
        <v>0</v>
      </c>
      <c r="AM541" s="403"/>
      <c r="AN541" s="401">
        <f t="shared" si="86"/>
        <v>4558</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0</v>
      </c>
      <c r="AM542" s="387"/>
      <c r="AN542" s="385">
        <f t="shared" si="86"/>
        <v>10000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13073.609999999993</v>
      </c>
      <c r="AG544" s="384"/>
      <c r="AH544" s="385">
        <f t="shared" si="94"/>
        <v>13073.609999999993</v>
      </c>
      <c r="AI544" s="412">
        <f t="shared" si="95"/>
        <v>0</v>
      </c>
      <c r="AJ544" s="411"/>
      <c r="AK544" s="410"/>
      <c r="AL544" s="383">
        <f>SUMIFS(BV_Data_An_Prec!$AM:$AM,BV_Data_An_Prec!$AQ:$AQ,$V544)</f>
        <v>0</v>
      </c>
      <c r="AM544" s="387"/>
      <c r="AN544" s="385">
        <f t="shared" si="86"/>
        <v>13073.609999999993</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9304.0700000000033</v>
      </c>
      <c r="AG545" s="400"/>
      <c r="AH545" s="401">
        <f t="shared" si="94"/>
        <v>9304.0700000000033</v>
      </c>
      <c r="AI545" s="402">
        <f t="shared" si="95"/>
        <v>0</v>
      </c>
      <c r="AJ545" s="407"/>
      <c r="AK545" s="406"/>
      <c r="AL545" s="399">
        <f>SUMIFS(BV_Data_An_Prec!$AM:$AM,BV_Data_An_Prec!$AQ:$AQ,$V545)</f>
        <v>0</v>
      </c>
      <c r="AM545" s="403"/>
      <c r="AN545" s="401">
        <f t="shared" si="86"/>
        <v>9304.0700000000033</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1599</v>
      </c>
      <c r="AG546" s="400"/>
      <c r="AH546" s="401">
        <f t="shared" si="94"/>
        <v>1599</v>
      </c>
      <c r="AI546" s="402">
        <f t="shared" si="95"/>
        <v>0</v>
      </c>
      <c r="AJ546" s="407"/>
      <c r="AK546" s="406"/>
      <c r="AL546" s="399">
        <f>SUMIFS(BV_Data_An_Prec!$AM:$AM,BV_Data_An_Prec!$AQ:$AQ,$V546)</f>
        <v>0</v>
      </c>
      <c r="AM546" s="403"/>
      <c r="AN546" s="401">
        <f t="shared" si="86"/>
        <v>1599</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7701.4900000000016</v>
      </c>
      <c r="AG547" s="384"/>
      <c r="AH547" s="385">
        <f t="shared" si="94"/>
        <v>7701.4900000000016</v>
      </c>
      <c r="AI547" s="412">
        <f t="shared" si="95"/>
        <v>0</v>
      </c>
      <c r="AJ547" s="411"/>
      <c r="AK547" s="410"/>
      <c r="AL547" s="383">
        <f>SUMIFS(BV_Data_An_Prec!$AM:$AM,BV_Data_An_Prec!$AQ:$AQ,$V547)</f>
        <v>0</v>
      </c>
      <c r="AM547" s="387"/>
      <c r="AN547" s="385">
        <f t="shared" si="86"/>
        <v>7701.4900000000016</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665.62000000000012</v>
      </c>
      <c r="AG548" s="400"/>
      <c r="AH548" s="401">
        <f t="shared" si="94"/>
        <v>665.62000000000012</v>
      </c>
      <c r="AI548" s="439">
        <f t="shared" si="95"/>
        <v>0</v>
      </c>
      <c r="AJ548" s="407"/>
      <c r="AK548" s="406"/>
      <c r="AL548" s="399">
        <f>SUMIFS(BV_Data_An_Prec!$AM:$AM,BV_Data_An_Prec!$AQ:$AQ,$V548)</f>
        <v>0</v>
      </c>
      <c r="AM548" s="403"/>
      <c r="AN548" s="401">
        <f t="shared" si="86"/>
        <v>665.62000000000012</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0.19985316112132342</v>
      </c>
      <c r="AE553" s="414"/>
      <c r="AF553" s="416">
        <f>SUM(AF540:AF552)</f>
        <v>157101.78999999998</v>
      </c>
      <c r="AG553" s="422"/>
      <c r="AH553" s="435">
        <f>SUM(AH540:AH552)</f>
        <v>157101.78999999998</v>
      </c>
      <c r="AI553" s="415">
        <f>IF(Z553=0,0,AH553/Z553)</f>
        <v>0</v>
      </c>
      <c r="AJ553" s="417" t="e">
        <f>AL553/AL494</f>
        <v>#DIV/0!</v>
      </c>
      <c r="AK553" s="414"/>
      <c r="AL553" s="416">
        <f>SUM(AL540:AL552)</f>
        <v>0</v>
      </c>
      <c r="AM553" s="423"/>
      <c r="AN553" s="419">
        <f t="shared" si="86"/>
        <v>157101.78999999998</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0.84651490271250707</v>
      </c>
      <c r="AE555" s="414"/>
      <c r="AF555" s="416">
        <f>AF506+AF520+AF539+AF553</f>
        <v>665433.59000000008</v>
      </c>
      <c r="AG555" s="422"/>
      <c r="AH555" s="435">
        <f t="shared" si="96"/>
        <v>665433.59000000008</v>
      </c>
      <c r="AI555" s="415" t="e">
        <f>AH555/Z555</f>
        <v>#DIV/0!</v>
      </c>
      <c r="AJ555" s="417" t="e">
        <f>AL555/AL494</f>
        <v>#DIV/0!</v>
      </c>
      <c r="AK555" s="414"/>
      <c r="AL555" s="416">
        <f>AL506+AL520+AL539+AL553</f>
        <v>0</v>
      </c>
      <c r="AM555" s="423"/>
      <c r="AN555" s="419">
        <f t="shared" ref="AN555:AN568" si="97">AF555-AL555</f>
        <v>665433.59000000008</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96014.50999999998</v>
      </c>
      <c r="AG556" s="446"/>
      <c r="AH556" s="401">
        <f t="shared" si="96"/>
        <v>96014.50999999998</v>
      </c>
      <c r="AI556" s="439" t="e">
        <f>IF(AH556=0,0,AH556/Z556)</f>
        <v>#DIV/0!</v>
      </c>
      <c r="AJ556" s="445"/>
      <c r="AK556" s="444"/>
      <c r="AL556" s="426">
        <f>-SUMIFS(BV_Data_An_Prec!$AM:$AM,BV_Data_An_Prec!$AQ:$AQ,$V556)</f>
        <v>0</v>
      </c>
      <c r="AM556" s="447"/>
      <c r="AN556" s="401">
        <f t="shared" si="97"/>
        <v>96014.50999999998</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10883.369999999995</v>
      </c>
      <c r="AG558" s="450"/>
      <c r="AH558" s="401">
        <f t="shared" si="96"/>
        <v>10883.369999999995</v>
      </c>
      <c r="AI558" s="420" t="e">
        <f t="shared" ref="AI558:AI567" si="101">IF(AH558=0,0,AH558/Z558)</f>
        <v>#DIV/0!</v>
      </c>
      <c r="AJ558" s="451"/>
      <c r="AL558" s="399">
        <f>-SUMIFS(BV_Data_An_Prec!$AM:$AM,BV_Data_An_Prec!$AQ:$AQ,$V558)</f>
        <v>0</v>
      </c>
      <c r="AM558" s="448"/>
      <c r="AN558" s="401">
        <f t="shared" si="97"/>
        <v>10883.369999999995</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0.13598749724728085</v>
      </c>
      <c r="AE568" s="434"/>
      <c r="AF568" s="416">
        <f>SUM(AF556:AF567)</f>
        <v>106897.87999999998</v>
      </c>
      <c r="AG568" s="422"/>
      <c r="AH568" s="419">
        <f t="shared" si="96"/>
        <v>106897.87999999998</v>
      </c>
      <c r="AI568" s="415" t="e">
        <f>AH568/Z568</f>
        <v>#DIV/0!</v>
      </c>
      <c r="AJ568" s="415" t="e">
        <f>AL568/+AL494</f>
        <v>#DIV/0!</v>
      </c>
      <c r="AK568" s="434"/>
      <c r="AL568" s="416">
        <f>SUM(AL556:AL567)</f>
        <v>0</v>
      </c>
      <c r="AM568" s="453"/>
      <c r="AN568" s="419">
        <f t="shared" si="97"/>
        <v>106897.87999999998</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7.4831472914867782E-3</v>
      </c>
      <c r="AF570" s="468">
        <f>AF494-AF555+AF568</f>
        <v>227550.37999999404</v>
      </c>
      <c r="AG570" s="470"/>
      <c r="AH570" s="470" t="e">
        <f>AF570-Z570</f>
        <v>#REF!</v>
      </c>
      <c r="AI570" s="471" t="e">
        <f>AH570/Z570</f>
        <v>#REF!</v>
      </c>
      <c r="AJ570" s="466" t="s">
        <v>215</v>
      </c>
      <c r="AK570" s="467" t="e">
        <f>AL570/AL493</f>
        <v>#DIV/0!</v>
      </c>
      <c r="AL570" s="468">
        <f>AL494-AL555+AL568</f>
        <v>0</v>
      </c>
      <c r="AM570" s="472"/>
      <c r="AN570" s="469">
        <f>AF570-AL570</f>
        <v>227550.37999999404</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Juin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1.2629111477199046E-2</v>
      </c>
      <c r="AF575" s="752">
        <f>AF576+AF502</f>
        <v>384030.80999999406</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384030.80999999406</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7.4831472914867782E-3</v>
      </c>
      <c r="AF576" s="468">
        <f>AF570</f>
        <v>227550.37999999404</v>
      </c>
      <c r="AG576" s="469"/>
      <c r="AH576" s="470" t="e">
        <f>AF576-Z576</f>
        <v>#REF!</v>
      </c>
      <c r="AI576" s="471" t="e">
        <f>AH576/Z576</f>
        <v>#REF!</v>
      </c>
      <c r="AJ576" s="466" t="s">
        <v>215</v>
      </c>
      <c r="AK576" s="467">
        <f>IF($AL$493=0,0,AL576/$AL$493)</f>
        <v>0</v>
      </c>
      <c r="AL576" s="468">
        <f>AL570</f>
        <v>0</v>
      </c>
      <c r="AM576" s="474"/>
      <c r="AN576" s="475">
        <f t="shared" si="103"/>
        <v>227550.37999999404</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10786.23</v>
      </c>
      <c r="AG578" s="398"/>
      <c r="AH578" s="401">
        <f t="shared" ref="AH578:AH585" si="105">AF578-Z578</f>
        <v>10786.23</v>
      </c>
      <c r="AI578" s="420">
        <f t="shared" ref="AI578:AI584" si="106">IF(Z578=0,0,AH578/Z578)</f>
        <v>0</v>
      </c>
      <c r="AJ578" s="398"/>
      <c r="AK578" s="406"/>
      <c r="AL578" s="399">
        <f>SUMIFS(BV_Data_An_Prec!$AM:$AM,BV_Data_An_Prec!$AQ:$AQ,$V578)</f>
        <v>0</v>
      </c>
      <c r="AM578" s="403"/>
      <c r="AN578" s="401">
        <f t="shared" si="103"/>
        <v>10786.23</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7.1284348633649016E-3</v>
      </c>
      <c r="AF585" s="468">
        <f>AF576-AF578-AF579-AF580-AF584-AF583</f>
        <v>216764.14999999403</v>
      </c>
      <c r="AG585" s="470"/>
      <c r="AH585" s="470" t="e">
        <f t="shared" si="105"/>
        <v>#REF!</v>
      </c>
      <c r="AI585" s="471" t="e">
        <f>AH585/Z585</f>
        <v>#REF!</v>
      </c>
      <c r="AJ585" s="466" t="s">
        <v>215</v>
      </c>
      <c r="AK585" s="467">
        <f>IF($AL$493=0,0,AL585/$AL$493)</f>
        <v>0</v>
      </c>
      <c r="AL585" s="468">
        <f>AL576-AL578-AL579-AL580-AL584-AL583</f>
        <v>0</v>
      </c>
      <c r="AM585" s="472"/>
      <c r="AN585" s="469">
        <f t="shared" si="103"/>
        <v>216764.14999999403</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216763</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-1.149999994027894</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Juin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84683821.710000008</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5</v>
      </c>
      <c r="K6" s="281">
        <f t="shared" ref="K6:K12" si="3">IF(J6=0,0,L6/J6)</f>
        <v>4862.1300000000047</v>
      </c>
      <c r="L6" s="266">
        <f>-SUMIFS(BV_Data_An_Cour!$AN:$AN,BV_Data_An_Cour!$AP:$AP,$B6,BV_Data_An_Cour!$AQ:$AQ,$C6,BV_Data_An_Cour!$AR:$AR,L$2)</f>
        <v>24310.650000000023</v>
      </c>
      <c r="M6" s="245">
        <f t="shared" ref="M6:M12" si="4">J6-D6</f>
        <v>5</v>
      </c>
      <c r="N6" s="246">
        <f t="shared" ref="N6:N12" si="5">L6-F6</f>
        <v>24310.650000000023</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5</v>
      </c>
      <c r="S6" s="266">
        <f t="shared" ref="S6:S12" si="8">L6-Q6</f>
        <v>24310.650000000023</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263</v>
      </c>
      <c r="K7" s="281">
        <f t="shared" si="3"/>
        <v>3174.5612167300419</v>
      </c>
      <c r="L7" s="266">
        <f>-SUMIFS(BV_Data_An_Cour!$AN:$AN,BV_Data_An_Cour!$AP:$AP,$B7,BV_Data_An_Cour!$AQ:$AQ,$C7,BV_Data_An_Cour!$AR:$AR,L$2)</f>
        <v>834909.60000000102</v>
      </c>
      <c r="M7" s="245">
        <f t="shared" si="4"/>
        <v>263</v>
      </c>
      <c r="N7" s="246">
        <f t="shared" si="5"/>
        <v>834909.60000000102</v>
      </c>
      <c r="O7" s="245">
        <f>SUMIFS(BV_Data_An_Prec!$AX:$AX,BV_Data_An_Prec!$AP:$AP,$B7,BV_Data_An_Prec!$AQ:$AQ,$C7,BV_Data_An_Prec!$AY:$AY,O$2)</f>
        <v>0</v>
      </c>
      <c r="P7" s="281">
        <f t="shared" si="6"/>
        <v>0</v>
      </c>
      <c r="Q7" s="266">
        <f>-SUMIFS(BV_Data_An_Prec!$AN:$AN,BV_Data_An_Prec!$AP:$AP,$B7,BV_Data_An_Prec!$AQ:$AQ,$C7,BV_Data_An_Prec!$AR:$AR,Q$2)</f>
        <v>0</v>
      </c>
      <c r="R7" s="245">
        <f t="shared" si="7"/>
        <v>263</v>
      </c>
      <c r="S7" s="266">
        <f t="shared" si="8"/>
        <v>834909.60000000102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102</v>
      </c>
      <c r="K9" s="281">
        <f t="shared" si="3"/>
        <v>1260.4129411764752</v>
      </c>
      <c r="L9" s="266">
        <f>-SUMIFS(BV_Data_An_Cour!$AN:$AN,BV_Data_An_Cour!$AP:$AP,$B9,BV_Data_An_Cour!$AQ:$AQ,$C9,BV_Data_An_Cour!$AR:$AR,L$2)</f>
        <v>128562.12000000046</v>
      </c>
      <c r="M9" s="245">
        <f t="shared" si="4"/>
        <v>102</v>
      </c>
      <c r="N9" s="246">
        <f t="shared" si="5"/>
        <v>128562.12000000046</v>
      </c>
      <c r="O9" s="245">
        <f>SUMIFS(BV_Data_An_Prec!$AX:$AX,BV_Data_An_Prec!$AP:$AP,$B9,BV_Data_An_Prec!$AQ:$AQ,$C9,BV_Data_An_Prec!$AY:$AY,O$2)</f>
        <v>0</v>
      </c>
      <c r="P9" s="281">
        <f t="shared" si="6"/>
        <v>0</v>
      </c>
      <c r="Q9" s="266">
        <f>-SUMIFS(BV_Data_An_Prec!$AN:$AN,BV_Data_An_Prec!$AP:$AP,$B9,BV_Data_An_Prec!$AQ:$AQ,$C9,BV_Data_An_Prec!$AR:$AR,Q$2)</f>
        <v>0</v>
      </c>
      <c r="R9" s="245">
        <f t="shared" si="7"/>
        <v>102</v>
      </c>
      <c r="S9" s="266">
        <f t="shared" si="8"/>
        <v>128562.12000000046</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370</v>
      </c>
      <c r="K13" s="355">
        <f>IF(J13&lt;=0,0,L13/J13)</f>
        <v>2669.682081081085</v>
      </c>
      <c r="L13" s="356">
        <f>+SUM(L6:L12)</f>
        <v>987782.37000000151</v>
      </c>
      <c r="M13" s="252">
        <f>+SUM(M6:M12)</f>
        <v>370</v>
      </c>
      <c r="N13" s="251">
        <f t="shared" ref="N13" si="10">+SUM(N6:N12)</f>
        <v>987782.37000000151</v>
      </c>
      <c r="O13" s="252">
        <f>+SUM(O6:O12)</f>
        <v>0</v>
      </c>
      <c r="P13" s="355">
        <f>IF(O13&lt;=0,0,Q13/O13)</f>
        <v>0</v>
      </c>
      <c r="Q13" s="356">
        <f>+SUM(Q6:Q12)</f>
        <v>0</v>
      </c>
      <c r="R13" s="252">
        <f t="shared" ref="R13" si="11">+SUM(R6:R12)</f>
        <v>370</v>
      </c>
      <c r="S13" s="356">
        <f>+SUM(S6:S12)</f>
        <v>987782.37000000151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1023</v>
      </c>
      <c r="K17" s="281">
        <f>IF(J17=0,0,L17/J17)</f>
        <v>618.9428739002883</v>
      </c>
      <c r="L17" s="266">
        <f>-SUMIFS(BV_Data_An_Cour!$AN:$AN,BV_Data_An_Cour!$AP:$AP,$B17,BV_Data_An_Cour!$AQ:$AQ,$C17,BV_Data_An_Cour!$AR:$AR,L$2)</f>
        <v>633178.55999999493</v>
      </c>
      <c r="M17" s="257">
        <f>J17-D17</f>
        <v>1023</v>
      </c>
      <c r="N17" s="246">
        <f>L17-F17</f>
        <v>633178.55999999493</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1023</v>
      </c>
      <c r="S17" s="266">
        <f>L17-Q17</f>
        <v>633178.55999999493</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9.6680270270270281</v>
      </c>
      <c r="L21" s="266">
        <f>-SUMIFS(BV_Data_An_Cour!$AN:$AN,BV_Data_An_Cour!$AP:$AP,$B21,BV_Data_An_Cour!$AQ:$AQ,$C21,BV_Data_An_Cour!$AR:$AR,L$2)</f>
        <v>3577.17</v>
      </c>
      <c r="M21" s="245"/>
      <c r="N21" s="246">
        <f>L21-F21</f>
        <v>3577.17</v>
      </c>
      <c r="O21" s="245"/>
      <c r="P21" s="281">
        <f>IF(O13=0,0,Q21/(O13+O15))</f>
        <v>0</v>
      </c>
      <c r="Q21" s="266">
        <f>-SUMIFS(BV_Data_An_Prec!$AN:$AN,BV_Data_An_Prec!$AP:$AP,$B21,BV_Data_An_Prec!$AQ:$AQ,$C21,BV_Data_An_Prec!$AR:$AR,Q$2)</f>
        <v>0</v>
      </c>
      <c r="R21" s="267">
        <f>P21-K21</f>
        <v>-9.6680270270270281</v>
      </c>
      <c r="S21" s="266">
        <f t="shared" ref="S21:S23" si="12">L21-Q21</f>
        <v>3577.17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682.86521621621625</v>
      </c>
      <c r="L22" s="266">
        <f>-SUMIFS(BV_Data_An_Cour!$AN:$AN,BV_Data_An_Cour!$AP:$AP,$B22,BV_Data_An_Cour!$AQ:$AQ,$C22,BV_Data_An_Cour!$AR:$AR,L$2)</f>
        <v>252660.13</v>
      </c>
      <c r="M22" s="245"/>
      <c r="N22" s="246">
        <f>L22-F22</f>
        <v>252660.13</v>
      </c>
      <c r="O22" s="245"/>
      <c r="P22" s="281">
        <f>IF(O13=0,0,Q22/(O13+O15))</f>
        <v>0</v>
      </c>
      <c r="Q22" s="266">
        <f>-SUMIFS(BV_Data_An_Prec!$AN:$AN,BV_Data_An_Prec!$AP:$AP,$B22,BV_Data_An_Prec!$AQ:$AQ,$C22,BV_Data_An_Prec!$AR:$AR,Q$2)</f>
        <v>0</v>
      </c>
      <c r="R22" s="267">
        <f t="shared" ref="R22:R23" si="13">P22-K22</f>
        <v>-682.86521621621625</v>
      </c>
      <c r="S22" s="266">
        <f t="shared" si="12"/>
        <v>252660.13</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36.661351351351342</v>
      </c>
      <c r="L23" s="266">
        <f>-SUMIFS(BV_Data_An_Cour!$AN:$AN,BV_Data_An_Cour!$AP:$AP,$B23,BV_Data_An_Cour!$AQ:$AQ,$C23,BV_Data_An_Cour!$AR:$AR,L$2)</f>
        <v>13564.699999999997</v>
      </c>
      <c r="M23" s="257"/>
      <c r="N23" s="246">
        <f>L23-F23</f>
        <v>13564.699999999997</v>
      </c>
      <c r="O23" s="245"/>
      <c r="P23" s="281">
        <f>IF(O13=0,0,Q23/(O13+O15))</f>
        <v>0</v>
      </c>
      <c r="Q23" s="266">
        <f>-SUMIFS(BV_Data_An_Prec!$AN:$AN,BV_Data_An_Prec!$AP:$AP,$B23,BV_Data_An_Prec!$AQ:$AQ,$C23,BV_Data_An_Prec!$AR:$AR,Q$2)</f>
        <v>0</v>
      </c>
      <c r="R23" s="267">
        <f t="shared" si="13"/>
        <v>-36.661351351351342</v>
      </c>
      <c r="S23" s="266">
        <f t="shared" si="12"/>
        <v>13564.699999999997</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370</v>
      </c>
      <c r="K24" s="355">
        <f>IF(J24&lt;=0,0,L24/J24)</f>
        <v>729.19459459459461</v>
      </c>
      <c r="L24" s="356">
        <f>L21+L22+L23</f>
        <v>269802</v>
      </c>
      <c r="M24" s="265">
        <f>J24-D24</f>
        <v>370</v>
      </c>
      <c r="N24" s="251">
        <f>L24-F24</f>
        <v>269802</v>
      </c>
      <c r="O24" s="252">
        <f>+O15+O13</f>
        <v>0</v>
      </c>
      <c r="P24" s="355">
        <f>IF(O24&lt;=0,0,Q24/O24)</f>
        <v>0</v>
      </c>
      <c r="Q24" s="356">
        <f>Q21+Q22+Q23</f>
        <v>0</v>
      </c>
      <c r="R24" s="337">
        <f>P24-K24</f>
        <v>-729.19459459459461</v>
      </c>
      <c r="S24" s="356">
        <f>L24-Q24</f>
        <v>269802</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1393</v>
      </c>
      <c r="K27" s="269">
        <f>IF(J27&lt;=0,0,L27/J27)</f>
        <v>1357.3316080401985</v>
      </c>
      <c r="L27" s="271">
        <f>L13+L17+L24+L19+L15</f>
        <v>1890762.9299999964</v>
      </c>
      <c r="M27" s="272">
        <f>J27-D27</f>
        <v>1393</v>
      </c>
      <c r="N27" s="271">
        <f>L27-F27</f>
        <v>1890762.9299999964</v>
      </c>
      <c r="O27" s="272">
        <f>+O13+O15+O17</f>
        <v>0</v>
      </c>
      <c r="P27" s="269">
        <f>IF(O27&lt;=0,0,Q27/O27)</f>
        <v>0</v>
      </c>
      <c r="Q27" s="271">
        <f>Q13+Q17+Q24+Q19+Q15</f>
        <v>0</v>
      </c>
      <c r="R27" s="272">
        <f>J27-O27</f>
        <v>1393</v>
      </c>
      <c r="S27" s="271">
        <f>L27-Q27</f>
        <v>1890762.9299999964</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0.20746799245802966</v>
      </c>
      <c r="K31" s="281">
        <f>IF(L31=0,0,L31/J$24)</f>
        <v>908.91218918918923</v>
      </c>
      <c r="L31" s="266">
        <f>SUMIFS(BV_Data_An_Cour!$AN:$AN,BV_Data_An_Cour!$AP:$AP,$B31,BV_Data_An_Cour!$AQ:$AQ,$C31,BV_Data_An_Cour!$AR:$AR,L$2)</f>
        <v>336297.51</v>
      </c>
      <c r="M31" s="243"/>
      <c r="N31" s="266">
        <f t="shared" ref="N31:N53" si="15">L31-F31</f>
        <v>336297.51</v>
      </c>
      <c r="O31" s="282" t="e">
        <f>Q31/(Q15+Q13+Q17)</f>
        <v>#DIV/0!</v>
      </c>
      <c r="P31" s="281">
        <f t="shared" ref="P31:P40" si="16">IF(Q31=0,0,Q31/O$24)</f>
        <v>0</v>
      </c>
      <c r="Q31" s="266">
        <f>SUMIFS(BV_Data_An_Prec!$AN:$AN,BV_Data_An_Prec!$AP:$AP,$B31,BV_Data_An_Prec!$AQ:$AQ,$C31,BV_Data_An_Prec!$AR:$AR,Q$2)</f>
        <v>0</v>
      </c>
      <c r="R31" s="243"/>
      <c r="S31" s="266">
        <f>L31-Q31</f>
        <v>336297.51</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0.2802765731907102</v>
      </c>
      <c r="K32" s="284">
        <f t="shared" ref="K32:K39" si="17">IF(L32=0,0,L32/J$24)</f>
        <v>204.37616216216213</v>
      </c>
      <c r="L32" s="266">
        <f>SUMIFS(BV_Data_An_Cour!$AN:$AN,BV_Data_An_Cour!$AP:$AP,$B32,BV_Data_An_Cour!$AQ:$AQ,$C32,BV_Data_An_Cour!$AR:$AR,L$2)</f>
        <v>75619.179999999993</v>
      </c>
      <c r="M32" s="238"/>
      <c r="N32" s="286">
        <f t="shared" si="15"/>
        <v>75619.179999999993</v>
      </c>
      <c r="O32" s="285" t="e">
        <f>Q32/Q24</f>
        <v>#DIV/0!</v>
      </c>
      <c r="P32" s="284">
        <f t="shared" si="16"/>
        <v>0</v>
      </c>
      <c r="Q32" s="286">
        <f>SUMIFS(BV_Data_An_Prec!$AN:$AN,BV_Data_An_Prec!$AP:$AP,$B32,BV_Data_An_Prec!$AQ:$AQ,$C32,BV_Data_An_Prec!$AR:$AR,Q$2)</f>
        <v>0</v>
      </c>
      <c r="R32" s="238"/>
      <c r="S32" s="286">
        <f t="shared" ref="S32:S39" si="18">L32-Q32</f>
        <v>75619.179999999993</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-21.94245945945946</v>
      </c>
      <c r="L33" s="954">
        <f>SUMIFS(BV_Data_An_Cour!$AN:$AN,BV_Data_An_Cour!$AP:$AP,$B33,BV_Data_An_Cour!$AQ:$AQ,$C33,BV_Data_An_Cour!$AR:$AR,L$2)</f>
        <v>-8118.71</v>
      </c>
      <c r="M33" s="243"/>
      <c r="N33" s="266">
        <f t="shared" si="15"/>
        <v>-8118.71</v>
      </c>
      <c r="O33" s="243"/>
      <c r="P33" s="281">
        <f t="shared" si="16"/>
        <v>0</v>
      </c>
      <c r="Q33" s="266">
        <f>SUMIFS(BV_Data_An_Prec!$AN:$AN,BV_Data_An_Prec!$AP:$AP,$B33,BV_Data_An_Prec!$AQ:$AQ,$C33,BV_Data_An_Prec!$AR:$AR,Q$2)</f>
        <v>0</v>
      </c>
      <c r="R33" s="243"/>
      <c r="S33" s="266">
        <f t="shared" si="18"/>
        <v>-8118.71</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5.5548108108108112</v>
      </c>
      <c r="L34" s="266">
        <f>SUMIFS(BV_Data_An_Cour!$AN:$AN,BV_Data_An_Cour!$AP:$AP,$B34,BV_Data_An_Cour!$AQ:$AQ,$C34,BV_Data_An_Cour!$AR:$AR,L$2)</f>
        <v>2055.2800000000002</v>
      </c>
      <c r="M34" s="243"/>
      <c r="N34" s="266">
        <f t="shared" si="15"/>
        <v>2055.2800000000002</v>
      </c>
      <c r="O34" s="243"/>
      <c r="P34" s="281">
        <f t="shared" si="16"/>
        <v>0</v>
      </c>
      <c r="Q34" s="266">
        <f>SUMIFS(BV_Data_An_Prec!$AN:$AN,BV_Data_An_Prec!$AP:$AP,$B34,BV_Data_An_Prec!$AQ:$AQ,$C34,BV_Data_An_Prec!$AR:$AR,Q$2)</f>
        <v>0</v>
      </c>
      <c r="R34" s="243"/>
      <c r="S34" s="266">
        <f t="shared" si="18"/>
        <v>2055.2800000000002</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-490.69151351351354</v>
      </c>
      <c r="L36" s="954">
        <f>SUMIFS(BV_Data_An_Cour!$AN:$AN,BV_Data_An_Cour!$AP:$AP,$B36,BV_Data_An_Cour!$AQ:$AQ,$C36,BV_Data_An_Cour!$AR:$AR,L$2)</f>
        <v>-181555.86000000002</v>
      </c>
      <c r="M36" s="243"/>
      <c r="N36" s="266">
        <f t="shared" si="15"/>
        <v>-181555.86000000002</v>
      </c>
      <c r="O36" s="243"/>
      <c r="P36" s="281">
        <f t="shared" si="16"/>
        <v>0</v>
      </c>
      <c r="Q36" s="266">
        <f>SUMIFS(BV_Data_An_Prec!$AN:$AN,BV_Data_An_Prec!$AP:$AP,$B36,BV_Data_An_Prec!$AQ:$AQ,$C36,BV_Data_An_Prec!$AR:$AR,Q$2)</f>
        <v>0</v>
      </c>
      <c r="R36" s="243"/>
      <c r="S36" s="266">
        <f t="shared" si="18"/>
        <v>-181555.86000000002</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1692.9017297297298</v>
      </c>
      <c r="L37" s="266">
        <f>SUMIFS(BV_Data_An_Cour!$AN:$AN,BV_Data_An_Cour!$AP:$AP,$B37,BV_Data_An_Cour!$AQ:$AQ,$C37,BV_Data_An_Cour!$AR:$AR,L$2)</f>
        <v>626373.64</v>
      </c>
      <c r="M37" s="243"/>
      <c r="N37" s="658">
        <f t="shared" si="15"/>
        <v>626373.64</v>
      </c>
      <c r="O37" s="243"/>
      <c r="P37" s="281">
        <f t="shared" si="16"/>
        <v>0</v>
      </c>
      <c r="Q37" s="266">
        <f>SUMIFS(BV_Data_An_Prec!$AN:$AN,BV_Data_An_Prec!$AP:$AP,$B37,BV_Data_An_Prec!$AQ:$AQ,$C37,BV_Data_An_Prec!$AR:$AR,Q$2)</f>
        <v>0</v>
      </c>
      <c r="R37" s="243"/>
      <c r="S37" s="266">
        <f t="shared" si="18"/>
        <v>626373.64</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-4844.4369459459458</v>
      </c>
      <c r="L38" s="266">
        <f>SUMIFS(BV_Data_An_Cour!$AN:$AN,BV_Data_An_Cour!$AP:$AP,$B38,BV_Data_An_Cour!$AQ:$AQ,$C38,BV_Data_An_Cour!$AR:$AR,L$2)</f>
        <v>-1792441.67</v>
      </c>
      <c r="M38" s="38"/>
      <c r="N38" s="266">
        <f t="shared" si="15"/>
        <v>-1792441.67</v>
      </c>
      <c r="O38" s="243"/>
      <c r="P38" s="281">
        <f t="shared" si="16"/>
        <v>0</v>
      </c>
      <c r="Q38" s="266">
        <f>SUMIFS(BV_Data_An_Prec!$AN:$AN,BV_Data_An_Prec!$AP:$AP,$B38,BV_Data_An_Prec!$AQ:$AQ,$C38,BV_Data_An_Prec!$AR:$AR,Q$2)</f>
        <v>0</v>
      </c>
      <c r="R38" s="243"/>
      <c r="S38" s="266">
        <f t="shared" si="18"/>
        <v>-1792441.67</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-0.49809027618285368</v>
      </c>
      <c r="L41" s="294">
        <f>SUM(L31:L40)</f>
        <v>-941770.62999999989</v>
      </c>
      <c r="M41" s="296"/>
      <c r="N41" s="294">
        <f t="shared" si="15"/>
        <v>-941770.62999999989</v>
      </c>
      <c r="O41" s="295" t="s">
        <v>115</v>
      </c>
      <c r="P41" s="293" t="e">
        <f>Q41/Q$27</f>
        <v>#DIV/0!</v>
      </c>
      <c r="Q41" s="294">
        <f>SUM(Q31:Q40)</f>
        <v>0</v>
      </c>
      <c r="R41" s="297"/>
      <c r="S41" s="294">
        <f t="shared" si="20"/>
        <v>-941770.62999999989</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100449.03</v>
      </c>
      <c r="M42" s="243"/>
      <c r="N42" s="266">
        <f t="shared" si="15"/>
        <v>100449.03</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144230.13</v>
      </c>
      <c r="M43" s="243"/>
      <c r="N43" s="266">
        <f t="shared" si="15"/>
        <v>144230.13</v>
      </c>
      <c r="O43" s="243"/>
      <c r="P43" s="38"/>
      <c r="Q43" s="286">
        <f>SUMIFS(BV_Data_An_Prec!$AN:$AN,BV_Data_An_Prec!$AP:$AP,$B43,BV_Data_An_Prec!$AQ:$AQ,$C43,BV_Data_An_Prec!$AR:$AR,Q$2)</f>
        <v>0</v>
      </c>
      <c r="R43" s="243"/>
      <c r="S43" s="266">
        <f t="shared" ref="S43:S53" si="21">L43-Q43</f>
        <v>144230.13</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17277.099999999999</v>
      </c>
      <c r="M44" s="233"/>
      <c r="N44" s="303">
        <f t="shared" si="15"/>
        <v>17277.099999999999</v>
      </c>
      <c r="O44" s="233"/>
      <c r="P44" s="301"/>
      <c r="Q44" s="281">
        <f>SUMIFS(BV_Data_An_Prec!$AN:$AN,BV_Data_An_Prec!$AP:$AP,$B44,BV_Data_An_Prec!$AQ:$AQ,$C44,BV_Data_An_Prec!$AR:$AR,Q$2)</f>
        <v>0</v>
      </c>
      <c r="R44" s="233"/>
      <c r="S44" s="303">
        <f t="shared" si="21"/>
        <v>17277.099999999999</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72489.7</v>
      </c>
      <c r="M49" s="243"/>
      <c r="N49" s="266">
        <f t="shared" si="15"/>
        <v>72489.7</v>
      </c>
      <c r="O49" s="243"/>
      <c r="P49" s="38"/>
      <c r="Q49" s="286">
        <f>SUMIFS(BV_Data_An_Prec!$AN:$AN,BV_Data_An_Prec!$AP:$AP,$B49,BV_Data_An_Prec!$AQ:$AQ,$C49,BV_Data_An_Prec!$AR:$AR,Q$2)</f>
        <v>0</v>
      </c>
      <c r="R49" s="243"/>
      <c r="S49" s="266">
        <f t="shared" si="21"/>
        <v>72489.7</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117988.72</v>
      </c>
      <c r="M50" s="233"/>
      <c r="N50" s="303">
        <f t="shared" si="15"/>
        <v>117988.72</v>
      </c>
      <c r="O50" s="233"/>
      <c r="P50" s="301"/>
      <c r="Q50" s="281">
        <f>SUMIFS(BV_Data_An_Prec!$AN:$AN,BV_Data_An_Prec!$AP:$AP,$B50,BV_Data_An_Prec!$AQ:$AQ,$C50,BV_Data_An_Prec!$AR:$AR,Q$2)</f>
        <v>0</v>
      </c>
      <c r="R50" s="233"/>
      <c r="S50" s="303">
        <f t="shared" si="21"/>
        <v>117988.72</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33032.29</v>
      </c>
      <c r="M51" s="243"/>
      <c r="N51" s="266">
        <f t="shared" si="15"/>
        <v>33032.29</v>
      </c>
      <c r="O51" s="243"/>
      <c r="P51" s="38"/>
      <c r="Q51" s="281">
        <f>SUMIFS(BV_Data_An_Prec!$AN:$AN,BV_Data_An_Prec!$AP:$AP,$B51,BV_Data_An_Prec!$AQ:$AQ,$C51,BV_Data_An_Prec!$AR:$AR,Q$2)</f>
        <v>0</v>
      </c>
      <c r="R51" s="243"/>
      <c r="S51" s="266">
        <f t="shared" si="21"/>
        <v>33032.29</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751.73</v>
      </c>
      <c r="M52" s="243"/>
      <c r="N52" s="266">
        <f t="shared" si="15"/>
        <v>751.73</v>
      </c>
      <c r="O52" s="243"/>
      <c r="P52" s="38"/>
      <c r="Q52" s="281">
        <f>SUMIFS(BV_Data_An_Prec!$AN:$AN,BV_Data_An_Prec!$AP:$AP,$B52,BV_Data_An_Prec!$AQ:$AQ,$C52,BV_Data_An_Prec!$AR:$AR,Q$2)</f>
        <v>0</v>
      </c>
      <c r="R52" s="243"/>
      <c r="S52" s="266">
        <f t="shared" si="21"/>
        <v>751.73</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0.25715476662111253</v>
      </c>
      <c r="L54" s="294">
        <f>+SUM(L42:L53)</f>
        <v>486218.7</v>
      </c>
      <c r="M54" s="296"/>
      <c r="N54" s="294">
        <f>+SUM(N42:N53)</f>
        <v>486218.7</v>
      </c>
      <c r="O54" s="295" t="s">
        <v>115</v>
      </c>
      <c r="P54" s="293" t="e">
        <f>Q54/Q$27</f>
        <v>#DIV/0!</v>
      </c>
      <c r="Q54" s="294">
        <f>+SUM(Q42:Q53)</f>
        <v>0</v>
      </c>
      <c r="R54" s="297"/>
      <c r="S54" s="294">
        <f>+SUM(S42:S53)</f>
        <v>385769.67</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74292.91</v>
      </c>
      <c r="M57" s="238"/>
      <c r="N57" s="286">
        <f t="shared" si="22"/>
        <v>74292.91</v>
      </c>
      <c r="O57" s="238"/>
      <c r="P57" s="304"/>
      <c r="Q57" s="286">
        <f>SUMIFS(BV_Data_An_Prec!$AN:$AN,BV_Data_An_Prec!$AP:$AP,$B57,BV_Data_An_Prec!$AQ:$AQ,$C57,BV_Data_An_Prec!$AR:$AR,Q$2)</f>
        <v>0</v>
      </c>
      <c r="R57" s="238"/>
      <c r="S57" s="286">
        <f t="shared" si="23"/>
        <v>74292.91</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24964.65</v>
      </c>
      <c r="M58" s="243"/>
      <c r="N58" s="266">
        <f t="shared" si="22"/>
        <v>24964.65</v>
      </c>
      <c r="O58" s="243"/>
      <c r="P58" s="38"/>
      <c r="Q58" s="266">
        <f>SUMIFS(BV_Data_An_Prec!$AN:$AN,BV_Data_An_Prec!$AP:$AP,$B58,BV_Data_An_Prec!$AQ:$AQ,$C58,BV_Data_An_Prec!$AR:$AR,Q$2)</f>
        <v>0</v>
      </c>
      <c r="R58" s="243"/>
      <c r="S58" s="266">
        <f t="shared" si="23"/>
        <v>24964.65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26341.58</v>
      </c>
      <c r="M59" s="243"/>
      <c r="N59" s="266">
        <f t="shared" si="22"/>
        <v>26341.58</v>
      </c>
      <c r="O59" s="243"/>
      <c r="P59" s="38"/>
      <c r="Q59" s="266">
        <f>SUMIFS(BV_Data_An_Prec!$AN:$AN,BV_Data_An_Prec!$AP:$AP,$B59,BV_Data_An_Prec!$AQ:$AQ,$C59,BV_Data_An_Prec!$AR:$AR,Q$2)</f>
        <v>0</v>
      </c>
      <c r="R59" s="243"/>
      <c r="S59" s="266">
        <f t="shared" si="23"/>
        <v>26341.58</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40743.65</v>
      </c>
      <c r="M60" s="238"/>
      <c r="N60" s="286">
        <f t="shared" si="22"/>
        <v>40743.65</v>
      </c>
      <c r="O60" s="238"/>
      <c r="P60" s="304"/>
      <c r="Q60" s="286">
        <f>SUMIFS(BV_Data_An_Prec!$AN:$AN,BV_Data_An_Prec!$AP:$AP,$B60,BV_Data_An_Prec!$AQ:$AQ,$C60,BV_Data_An_Prec!$AR:$AR,Q$2)</f>
        <v>0</v>
      </c>
      <c r="R60" s="238"/>
      <c r="S60" s="286">
        <f t="shared" si="23"/>
        <v>40743.65</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4016.64</v>
      </c>
      <c r="M61" s="243"/>
      <c r="N61" s="266">
        <f t="shared" si="22"/>
        <v>4016.64</v>
      </c>
      <c r="O61" s="243"/>
      <c r="P61" s="38"/>
      <c r="Q61" s="266">
        <f>SUMIFS(BV_Data_An_Prec!$AN:$AN,BV_Data_An_Prec!$AP:$AP,$B61,BV_Data_An_Prec!$AQ:$AQ,$C61,BV_Data_An_Prec!$AR:$AR,Q$2)</f>
        <v>0</v>
      </c>
      <c r="R61" s="243"/>
      <c r="S61" s="266">
        <f t="shared" si="23"/>
        <v>4016.64</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14100.19</v>
      </c>
      <c r="M63" s="243"/>
      <c r="N63" s="266">
        <f t="shared" si="22"/>
        <v>14100.19</v>
      </c>
      <c r="O63" s="243"/>
      <c r="P63" s="38"/>
      <c r="Q63" s="266">
        <f>SUMIFS(BV_Data_An_Prec!$AN:$AN,BV_Data_An_Prec!$AP:$AP,$B63,BV_Data_An_Prec!$AQ:$AQ,$C63,BV_Data_An_Prec!$AR:$AR,Q$2)</f>
        <v>0</v>
      </c>
      <c r="R63" s="243"/>
      <c r="S63" s="266">
        <f t="shared" si="23"/>
        <v>14100.19</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6584.61</v>
      </c>
      <c r="M64" s="243"/>
      <c r="N64" s="266">
        <f t="shared" si="22"/>
        <v>6584.61</v>
      </c>
      <c r="O64" s="243"/>
      <c r="P64" s="38"/>
      <c r="Q64" s="266">
        <f>SUMIFS(BV_Data_An_Prec!$AN:$AN,BV_Data_An_Prec!$AP:$AP,$B64,BV_Data_An_Prec!$AQ:$AQ,$C64,BV_Data_An_Prec!$AR:$AR,Q$2)</f>
        <v>0</v>
      </c>
      <c r="R64" s="243"/>
      <c r="S64" s="266">
        <f t="shared" si="23"/>
        <v>6584.61</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4943.67</v>
      </c>
      <c r="M65" s="243"/>
      <c r="N65" s="266">
        <f t="shared" si="22"/>
        <v>4943.67</v>
      </c>
      <c r="O65" s="243"/>
      <c r="P65" s="38"/>
      <c r="Q65" s="266">
        <f>SUMIFS(BV_Data_An_Prec!$AN:$AN,BV_Data_An_Prec!$AP:$AP,$B65,BV_Data_An_Prec!$AQ:$AQ,$C65,BV_Data_An_Prec!$AR:$AR,Q$2)</f>
        <v>0</v>
      </c>
      <c r="R65" s="243"/>
      <c r="S65" s="266">
        <f t="shared" si="23"/>
        <v>4943.67</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16401.97</v>
      </c>
      <c r="M66" s="243"/>
      <c r="N66" s="266">
        <f t="shared" si="22"/>
        <v>16401.97</v>
      </c>
      <c r="O66" s="243"/>
      <c r="P66" s="38"/>
      <c r="Q66" s="266">
        <f>SUMIFS(BV_Data_An_Prec!$AN:$AN,BV_Data_An_Prec!$AP:$AP,$B66,BV_Data_An_Prec!$AQ:$AQ,$C66,BV_Data_An_Prec!$AR:$AR,Q$2)</f>
        <v>0</v>
      </c>
      <c r="R66" s="243"/>
      <c r="S66" s="266">
        <f t="shared" si="23"/>
        <v>16401.97</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4416.03</v>
      </c>
      <c r="M67" s="243"/>
      <c r="N67" s="266">
        <f t="shared" si="22"/>
        <v>4416.03</v>
      </c>
      <c r="O67" s="243"/>
      <c r="P67" s="38"/>
      <c r="Q67" s="266">
        <f>SUMIFS(BV_Data_An_Prec!$AN:$AN,BV_Data_An_Prec!$AP:$AP,$B67,BV_Data_An_Prec!$AQ:$AQ,$C67,BV_Data_An_Prec!$AR:$AR,Q$2)</f>
        <v>0</v>
      </c>
      <c r="R67" s="243"/>
      <c r="S67" s="266">
        <f t="shared" si="23"/>
        <v>4416.03</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2201.13</v>
      </c>
      <c r="M68" s="243"/>
      <c r="N68" s="658">
        <f t="shared" si="22"/>
        <v>2201.13</v>
      </c>
      <c r="O68" s="243"/>
      <c r="P68" s="38"/>
      <c r="Q68" s="266">
        <f>SUMIFS(BV_Data_An_Prec!$AN:$AN,BV_Data_An_Prec!$AP:$AP,$B68,BV_Data_An_Prec!$AQ:$AQ,$C68,BV_Data_An_Prec!$AR:$AR,Q$2)</f>
        <v>0</v>
      </c>
      <c r="R68" s="243"/>
      <c r="S68" s="266">
        <f t="shared" si="23"/>
        <v>2201.13</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0.11582997874831429</v>
      </c>
      <c r="L72" s="294">
        <f>+SUM(L55:L71)</f>
        <v>219007.03000000003</v>
      </c>
      <c r="M72" s="296"/>
      <c r="N72" s="294">
        <f>+SUM(N55:N71)</f>
        <v>219007.03000000003</v>
      </c>
      <c r="O72" s="295" t="s">
        <v>115</v>
      </c>
      <c r="P72" s="293" t="e">
        <f>Q72/Q$27</f>
        <v>#DIV/0!</v>
      </c>
      <c r="Q72" s="294">
        <f>+SUM(Q55:Q71)</f>
        <v>0</v>
      </c>
      <c r="R72" s="297"/>
      <c r="S72" s="294">
        <f>+SUM(S55:S71)</f>
        <v>219007.03000000003</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-0.12510553081342687</v>
      </c>
      <c r="L74" s="294">
        <f>L41+L54+L72</f>
        <v>-236544.89999999985</v>
      </c>
      <c r="M74" s="296"/>
      <c r="N74" s="294">
        <f t="shared" ref="N74:N82" si="24">L74-F74</f>
        <v>-236544.89999999985</v>
      </c>
      <c r="O74" s="295" t="s">
        <v>115</v>
      </c>
      <c r="P74" s="293" t="e">
        <f>Q74/Q$27</f>
        <v>#DIV/0!</v>
      </c>
      <c r="Q74" s="294">
        <f>Q41+Q54+Q72</f>
        <v>0</v>
      </c>
      <c r="R74" s="297"/>
      <c r="S74" s="294">
        <f>L74-Q74</f>
        <v>-236544.89999999985</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153188.49</v>
      </c>
      <c r="M75" s="243"/>
      <c r="N75" s="266">
        <f t="shared" si="24"/>
        <v>153188.49</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153188.49</v>
      </c>
      <c r="M83" s="296"/>
      <c r="N83" s="294">
        <f>+SUM(N75:N82)</f>
        <v>153188.49</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2280496.3199999966</v>
      </c>
      <c r="M85" s="960"/>
      <c r="N85" s="958">
        <f>N27-N41-N54-N72+N83</f>
        <v>2280496.3199999966</v>
      </c>
      <c r="O85" s="959"/>
      <c r="P85" s="957"/>
      <c r="Q85" s="958">
        <f>Q27-Q74+Q83</f>
        <v>0</v>
      </c>
      <c r="R85" s="961"/>
      <c r="S85" s="958">
        <f>L85-Q85</f>
        <v>2280496.3199999966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Juin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14358457.67</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41</v>
      </c>
      <c r="K95" s="281">
        <f t="shared" si="28"/>
        <v>-372.56853658536721</v>
      </c>
      <c r="L95" s="266">
        <f>-SUMIFS(BV_Data_An_Cour!$AN:$AN,BV_Data_An_Cour!$AP:$AP,$B95,BV_Data_An_Cour!$AQ:$AQ,$C95,BV_Data_An_Cour!$AR:$AR,$L2)</f>
        <v>-15275.310000000056</v>
      </c>
      <c r="M95" s="245">
        <f>J95-D95</f>
        <v>41</v>
      </c>
      <c r="N95" s="246">
        <f>L95-F95</f>
        <v>-15275.310000000056</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41</v>
      </c>
      <c r="S95" s="266">
        <f t="shared" si="31"/>
        <v>-15275.310000000056</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41</v>
      </c>
      <c r="K97" s="305">
        <f>IF(J97&lt;=0,0,L97/J97)</f>
        <v>-372.56853658536721</v>
      </c>
      <c r="L97" s="356">
        <f>+L94+L95+L96</f>
        <v>-15275.310000000056</v>
      </c>
      <c r="M97" s="252">
        <f>J97-D97</f>
        <v>41</v>
      </c>
      <c r="N97" s="251">
        <f>L97-F97</f>
        <v>-15275.310000000056</v>
      </c>
      <c r="O97" s="250">
        <f>+O94+O95+O96</f>
        <v>0</v>
      </c>
      <c r="P97" s="305">
        <f>IF(O97&lt;=0,0,Q97/O97)</f>
        <v>0</v>
      </c>
      <c r="Q97" s="356">
        <f>+Q94+Q95+Q96</f>
        <v>0</v>
      </c>
      <c r="R97" s="252">
        <f>R94+R95</f>
        <v>41</v>
      </c>
      <c r="S97" s="356">
        <f>S94+S95</f>
        <v>-15275.310000000056</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350</v>
      </c>
      <c r="K101" s="281">
        <f t="shared" si="34"/>
        <v>950.03382857142287</v>
      </c>
      <c r="L101" s="266">
        <f>-SUMIFS(BV_Data_An_Cour!$AN:$AN,BV_Data_An_Cour!$AP:$AP,$B101,BV_Data_An_Cour!$AQ:$AQ,$C101,BV_Data_An_Cour!$AR:$AR,L$2)</f>
        <v>332511.83999999799</v>
      </c>
      <c r="M101" s="245">
        <f>J101-D101</f>
        <v>350</v>
      </c>
      <c r="N101" s="246">
        <f>L101-F101</f>
        <v>332511.83999999799</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350</v>
      </c>
      <c r="S101" s="266">
        <f t="shared" ref="S101" si="39">L101-Q101</f>
        <v>332511.83999999799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280.50902439024389</v>
      </c>
      <c r="L103" s="266">
        <f>-SUMIFS(BV_Data_An_Cour!$AN:$AN,BV_Data_An_Cour!$AP:$AP,$B103,BV_Data_An_Cour!$AQ:$AQ,$C103,BV_Data_An_Cour!$AR:$AR,$L2)</f>
        <v>11500.87</v>
      </c>
      <c r="M103" s="245"/>
      <c r="N103" s="246">
        <f>L103-F103</f>
        <v>11500.87</v>
      </c>
      <c r="O103" s="245"/>
      <c r="P103" s="281">
        <f>IF(O97=0,0,Q103/O97)</f>
        <v>0</v>
      </c>
      <c r="Q103" s="266">
        <f>-SUMIFS(BV_Data_An_Prec!$AN:$AN,BV_Data_An_Prec!$AP:$AP,$B103,BV_Data_An_Prec!$AQ:$AQ,$C103,BV_Data_An_Prec!$AR:$AR,$L2)</f>
        <v>0</v>
      </c>
      <c r="R103" s="267">
        <f>P103-K103</f>
        <v>-280.50902439024389</v>
      </c>
      <c r="S103" s="266">
        <f t="shared" ref="S103:S105" si="41">L103-Q103</f>
        <v>11500.87</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985.34414634146322</v>
      </c>
      <c r="L104" s="266">
        <f>-SUMIFS(BV_Data_An_Cour!$AN:$AN,BV_Data_An_Cour!$AP:$AP,$B104,BV_Data_An_Cour!$AQ:$AQ,$C104,BV_Data_An_Cour!$AR:$AR,$L2)</f>
        <v>40399.109999999993</v>
      </c>
      <c r="M104" s="245"/>
      <c r="N104" s="246">
        <f>L104-F104</f>
        <v>40399.109999999993</v>
      </c>
      <c r="O104" s="245"/>
      <c r="P104" s="281">
        <f>IF(O97=0,0,Q104/O97)</f>
        <v>0</v>
      </c>
      <c r="Q104" s="266">
        <f>-SUMIFS(BV_Data_An_Prec!$AN:$AN,BV_Data_An_Prec!$AP:$AP,$B104,BV_Data_An_Prec!$AQ:$AQ,$C104,BV_Data_An_Prec!$AR:$AR,$L2)</f>
        <v>0</v>
      </c>
      <c r="R104" s="267">
        <f t="shared" ref="R104:R106" si="42">P104-K104</f>
        <v>-985.34414634146322</v>
      </c>
      <c r="S104" s="266">
        <f t="shared" si="41"/>
        <v>40399.109999999993</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41</v>
      </c>
      <c r="K106" s="355">
        <f>IF(J106&lt;=0,0,L106/J106)</f>
        <v>1265.8531707317072</v>
      </c>
      <c r="L106" s="356">
        <f>L103+L104+L105</f>
        <v>51899.979999999996</v>
      </c>
      <c r="M106" s="265">
        <f>J106-D106</f>
        <v>41</v>
      </c>
      <c r="N106" s="251">
        <f>L106-F106</f>
        <v>51899.979999999996</v>
      </c>
      <c r="O106" s="252">
        <f>O97</f>
        <v>0</v>
      </c>
      <c r="P106" s="355">
        <f>IF(O106&lt;=0,0,Q106/O106)</f>
        <v>0</v>
      </c>
      <c r="Q106" s="356">
        <f>Q103+Q104+Q105</f>
        <v>0</v>
      </c>
      <c r="R106" s="357">
        <f t="shared" si="42"/>
        <v>-1265.8531707317072</v>
      </c>
      <c r="S106" s="356">
        <f>L106-Q106</f>
        <v>51899.979999999996</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391</v>
      </c>
      <c r="K109" s="269">
        <f>IF(J109&lt;=0,0,L109/J109)</f>
        <v>944.08314578004581</v>
      </c>
      <c r="L109" s="271">
        <f>L97+L106+L101+L99</f>
        <v>369136.50999999791</v>
      </c>
      <c r="M109" s="272">
        <f>J109-D109</f>
        <v>391</v>
      </c>
      <c r="N109" s="271">
        <f>N97+N106+N101+N99</f>
        <v>369136.50999999791</v>
      </c>
      <c r="O109" s="272">
        <f>O97+O101</f>
        <v>0</v>
      </c>
      <c r="P109" s="269">
        <f>IF(O109&lt;=0,0,Q109/O109)</f>
        <v>0</v>
      </c>
      <c r="Q109" s="271">
        <f>Q97+Q106+Q101+Q99</f>
        <v>0</v>
      </c>
      <c r="R109" s="272">
        <f>J109-O109</f>
        <v>391</v>
      </c>
      <c r="S109" s="271">
        <f>S97+S106+S101+S99</f>
        <v>369136.50999999791</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-1.5592514980055994</v>
      </c>
      <c r="K113" s="281">
        <f>IF($J$97=0,0,L113/(J$94+J$95+J96))</f>
        <v>580.92804878048776</v>
      </c>
      <c r="L113" s="266">
        <f>SUMIFS(BV_Data_An_Cour!$AN:$AN,BV_Data_An_Cour!$AP:$AP,$B113,BV_Data_An_Cour!$AQ:$AQ,$C113,BV_Data_An_Cour!$AR:$AR,$L$2)</f>
        <v>23818.05</v>
      </c>
      <c r="M113" s="243"/>
      <c r="N113" s="266">
        <f t="shared" ref="N113:N154" si="44">L113-F113</f>
        <v>23818.05</v>
      </c>
      <c r="O113" s="282" t="e">
        <f>Q113/Q97</f>
        <v>#DIV/0!</v>
      </c>
      <c r="P113" s="281" t="e">
        <f>IF($J$97=0,0,Q113/(O$94+O$95+O96))</f>
        <v>#DIV/0!</v>
      </c>
      <c r="Q113" s="266">
        <f>SUMIFS(BV_Data_An_Prec!$AN:$AN,BV_Data_An_Prec!$AP:$AP,$B113,BV_Data_An_Prec!$AQ:$AQ,$C113,BV_Data_An_Prec!$AR:$AR,$L$2)</f>
        <v>0</v>
      </c>
      <c r="R113" s="243"/>
      <c r="S113" s="266">
        <f>L113-Q113</f>
        <v>23818.05</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0.24257755012622359</v>
      </c>
      <c r="K114" s="284">
        <f>IF($J$97=0,0,L114/(J$94+J$95+J96))</f>
        <v>307.06756097560975</v>
      </c>
      <c r="L114" s="266">
        <f>SUMIFS(BV_Data_An_Cour!$AN:$AN,BV_Data_An_Cour!$AP:$AP,$B114,BV_Data_An_Cour!$AQ:$AQ,$C114,BV_Data_An_Cour!$AR:$AR,$L$2)</f>
        <v>12589.77</v>
      </c>
      <c r="M114" s="238"/>
      <c r="N114" s="286">
        <f t="shared" si="44"/>
        <v>12589.77</v>
      </c>
      <c r="O114" s="285" t="e">
        <f>Q114/(Q106)</f>
        <v>#DIV/0!</v>
      </c>
      <c r="P114" s="284" t="e">
        <f>IF($J$97=0,0,Q114/(O$94+O$95+O96))</f>
        <v>#DIV/0!</v>
      </c>
      <c r="Q114" s="266">
        <f>SUMIFS(BV_Data_An_Prec!$AN:$AN,BV_Data_An_Prec!$AP:$AP,$B114,BV_Data_An_Prec!$AQ:$AQ,$C114,BV_Data_An_Prec!$AR:$AR,$L$2)</f>
        <v>0</v>
      </c>
      <c r="R114" s="238"/>
      <c r="S114" s="286">
        <f t="shared" ref="S114:S166" si="45">L114-Q114</f>
        <v>12589.77</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127.51195121951218</v>
      </c>
      <c r="L115" s="303">
        <f>SUMIFS(BV_Data_An_Cour!$AN:$AN,BV_Data_An_Cour!$AP:$AP,$B115,BV_Data_An_Cour!$AQ:$AQ,$C115,BV_Data_An_Cour!$AR:$AR,$L$2)</f>
        <v>5227.99</v>
      </c>
      <c r="M115" s="243"/>
      <c r="N115" s="266">
        <f t="shared" si="44"/>
        <v>5227.99</v>
      </c>
      <c r="O115" s="243"/>
      <c r="P115" s="281" t="e">
        <f>IF($J$97=0,0,Q115/(O$94+O$95+O96))</f>
        <v>#DIV/0!</v>
      </c>
      <c r="Q115" s="303">
        <f>SUMIFS(BV_Data_An_Prec!$AN:$AN,BV_Data_An_Prec!$AP:$AP,$B115,BV_Data_An_Prec!$AQ:$AQ,$C115,BV_Data_An_Prec!$AR:$AR,$L$2)</f>
        <v>0</v>
      </c>
      <c r="R115" s="243"/>
      <c r="S115" s="266">
        <f t="shared" si="45"/>
        <v>5227.99</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12.941951219512195</v>
      </c>
      <c r="L116" s="266">
        <f>SUMIFS(BV_Data_An_Cour!$AN:$AN,BV_Data_An_Cour!$AP:$AP,$B116,BV_Data_An_Cour!$AQ:$AQ,$C116,BV_Data_An_Cour!$AR:$AR,$L$2)</f>
        <v>530.62</v>
      </c>
      <c r="M116" s="243"/>
      <c r="N116" s="266">
        <f t="shared" si="44"/>
        <v>530.62</v>
      </c>
      <c r="O116" s="243"/>
      <c r="P116" s="281" t="e">
        <f>IF($J$97=0,0,Q116/(O$94+O$95+O96))</f>
        <v>#DIV/0!</v>
      </c>
      <c r="Q116" s="266">
        <f>SUMIFS(BV_Data_An_Prec!$AN:$AN,BV_Data_An_Prec!$AP:$AP,$B116,BV_Data_An_Prec!$AQ:$AQ,$C116,BV_Data_An_Prec!$AR:$AR,$L$2)</f>
        <v>0</v>
      </c>
      <c r="R116" s="243"/>
      <c r="S116" s="266">
        <f t="shared" si="45"/>
        <v>530.62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572.47829268292685</v>
      </c>
      <c r="L118" s="266">
        <f>SUMIFS(BV_Data_An_Cour!$AN:$AN,BV_Data_An_Cour!$AP:$AP,$B118,BV_Data_An_Cour!$AQ:$AQ,$C118,BV_Data_An_Cour!$AR:$AR,$L$2)</f>
        <v>23471.61</v>
      </c>
      <c r="M118" s="243"/>
      <c r="N118" s="266">
        <f t="shared" si="44"/>
        <v>23471.61</v>
      </c>
      <c r="O118" s="243"/>
      <c r="P118" s="281" t="e">
        <f>IF($J$97=0,0,Q118/(O$94+O$95+O96))</f>
        <v>#DIV/0!</v>
      </c>
      <c r="Q118" s="266">
        <f>SUMIFS(BV_Data_An_Prec!$AN:$AN,BV_Data_An_Prec!$AP:$AP,$B118,BV_Data_An_Prec!$AQ:$AQ,$C118,BV_Data_An_Prec!$AR:$AR,$L$2)</f>
        <v>0</v>
      </c>
      <c r="R118" s="243"/>
      <c r="S118" s="266">
        <f t="shared" si="45"/>
        <v>23471.61</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3526.5651219512197</v>
      </c>
      <c r="L119" s="658">
        <f>SUMIFS(BV_Data_An_Cour!$AN:$AN,BV_Data_An_Cour!$AP:$AP,$B119,BV_Data_An_Cour!$AQ:$AQ,$C119,BV_Data_An_Cour!$AR:$AR,$L$2)</f>
        <v>144589.17000000001</v>
      </c>
      <c r="M119" s="243"/>
      <c r="N119" s="658">
        <f t="shared" si="44"/>
        <v>144589.17000000001</v>
      </c>
      <c r="O119" s="243"/>
      <c r="P119" s="281" t="e">
        <f>IF($J$97=0,0,Q119/(O$94+O$95+O96))</f>
        <v>#DIV/0!</v>
      </c>
      <c r="Q119" s="658">
        <f>SUMIFS(BV_Data_An_Prec!$AN:$AN,BV_Data_An_Prec!$AP:$AP,$B119,BV_Data_An_Prec!$AQ:$AQ,$C119,BV_Data_An_Prec!$AR:$AR,$L$2)</f>
        <v>0</v>
      </c>
      <c r="R119" s="243"/>
      <c r="S119" s="266">
        <f t="shared" si="45"/>
        <v>144589.17000000001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0.56951074820532166</v>
      </c>
      <c r="L123" s="294">
        <f>SUM(L113:L122)</f>
        <v>210227.21000000002</v>
      </c>
      <c r="M123" s="296"/>
      <c r="N123" s="294">
        <f t="shared" si="44"/>
        <v>210227.21000000002</v>
      </c>
      <c r="O123" s="295" t="s">
        <v>115</v>
      </c>
      <c r="P123" s="293" t="e">
        <f>Q123/Q$109</f>
        <v>#DIV/0!</v>
      </c>
      <c r="Q123" s="294">
        <f>SUM(Q113:Q122)</f>
        <v>0</v>
      </c>
      <c r="R123" s="297"/>
      <c r="S123" s="294">
        <f t="shared" si="45"/>
        <v>210227.21000000002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66467.289999999994</v>
      </c>
      <c r="M124" s="243"/>
      <c r="N124" s="266">
        <f t="shared" si="44"/>
        <v>66467.289999999994</v>
      </c>
      <c r="O124" s="243"/>
      <c r="P124" s="38"/>
      <c r="Q124" s="266">
        <f>SUMIFS(BV_Data_An_Prec!$AN:$AN,BV_Data_An_Prec!$AP:$AP,$B124,BV_Data_An_Prec!$AQ:$AQ,$C124,BV_Data_An_Prec!$AR:$AR,$L$2)</f>
        <v>0</v>
      </c>
      <c r="R124" s="243"/>
      <c r="S124" s="266">
        <f t="shared" si="45"/>
        <v>66467.289999999994</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27394.28</v>
      </c>
      <c r="M125" s="243"/>
      <c r="N125" s="266">
        <f t="shared" si="44"/>
        <v>27394.28</v>
      </c>
      <c r="O125" s="243"/>
      <c r="P125" s="38"/>
      <c r="Q125" s="266">
        <f>SUMIFS(BV_Data_An_Prec!$AN:$AN,BV_Data_An_Prec!$AP:$AP,$B125,BV_Data_An_Prec!$AQ:$AQ,$C125,BV_Data_An_Prec!$AR:$AR,$L$2)</f>
        <v>0</v>
      </c>
      <c r="R125" s="243"/>
      <c r="S125" s="266">
        <f t="shared" si="45"/>
        <v>27394.28</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13065.1</v>
      </c>
      <c r="M126" s="233"/>
      <c r="N126" s="303">
        <f t="shared" si="44"/>
        <v>13065.1</v>
      </c>
      <c r="O126" s="233"/>
      <c r="P126" s="301"/>
      <c r="Q126" s="303">
        <f>SUMIFS(BV_Data_An_Prec!$AN:$AN,BV_Data_An_Prec!$AP:$AP,$B126,BV_Data_An_Prec!$AQ:$AQ,$C126,BV_Data_An_Prec!$AR:$AR,$L$2)</f>
        <v>0</v>
      </c>
      <c r="R126" s="233"/>
      <c r="S126" s="303">
        <f t="shared" si="45"/>
        <v>13065.1</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6723.83</v>
      </c>
      <c r="M131" s="243"/>
      <c r="N131" s="266">
        <f t="shared" si="44"/>
        <v>6723.83</v>
      </c>
      <c r="O131" s="243"/>
      <c r="P131" s="38"/>
      <c r="Q131" s="266">
        <f>SUMIFS(BV_Data_An_Prec!$AN:$AN,BV_Data_An_Prec!$AP:$AP,$B131,BV_Data_An_Prec!$AQ:$AQ,$C131,BV_Data_An_Prec!$AR:$AR,$L$2)</f>
        <v>0</v>
      </c>
      <c r="R131" s="243"/>
      <c r="S131" s="266">
        <f t="shared" si="45"/>
        <v>6723.83</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13342.01</v>
      </c>
      <c r="M132" s="233"/>
      <c r="N132" s="303">
        <f t="shared" si="44"/>
        <v>13342.01</v>
      </c>
      <c r="O132" s="233"/>
      <c r="P132" s="301"/>
      <c r="Q132" s="303">
        <f>SUMIFS(BV_Data_An_Prec!$AN:$AN,BV_Data_An_Prec!$AP:$AP,$B132,BV_Data_An_Prec!$AQ:$AQ,$C132,BV_Data_An_Prec!$AR:$AR,$L$2)</f>
        <v>0</v>
      </c>
      <c r="R132" s="233"/>
      <c r="S132" s="303">
        <f t="shared" si="45"/>
        <v>13342.01</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15305.24</v>
      </c>
      <c r="M133" s="243"/>
      <c r="N133" s="266">
        <f t="shared" si="44"/>
        <v>15305.24</v>
      </c>
      <c r="O133" s="243"/>
      <c r="P133" s="38"/>
      <c r="Q133" s="266">
        <f>SUMIFS(BV_Data_An_Prec!$AN:$AN,BV_Data_An_Prec!$AP:$AP,$B133,BV_Data_An_Prec!$AQ:$AQ,$C133,BV_Data_An_Prec!$AR:$AR,$L$2)</f>
        <v>0</v>
      </c>
      <c r="R133" s="243"/>
      <c r="S133" s="266">
        <f t="shared" si="45"/>
        <v>15305.24</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151.63</v>
      </c>
      <c r="M134" s="243"/>
      <c r="N134" s="266">
        <f t="shared" si="44"/>
        <v>151.63</v>
      </c>
      <c r="O134" s="243"/>
      <c r="P134" s="38"/>
      <c r="Q134" s="266">
        <f>SUMIFS(BV_Data_An_Prec!$AN:$AN,BV_Data_An_Prec!$AP:$AP,$B134,BV_Data_An_Prec!$AQ:$AQ,$C134,BV_Data_An_Prec!$AR:$AR,$L$2)</f>
        <v>0</v>
      </c>
      <c r="R134" s="243"/>
      <c r="S134" s="266">
        <f t="shared" si="45"/>
        <v>151.63</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0.38589891853287772</v>
      </c>
      <c r="L136" s="294">
        <f>SUM(L124:L135)</f>
        <v>142449.38</v>
      </c>
      <c r="M136" s="296"/>
      <c r="N136" s="294">
        <f t="shared" si="44"/>
        <v>142449.38</v>
      </c>
      <c r="O136" s="295" t="s">
        <v>115</v>
      </c>
      <c r="P136" s="293" t="e">
        <f>Q136/Q$109</f>
        <v>#DIV/0!</v>
      </c>
      <c r="Q136" s="294">
        <f>SUM(Q124:Q135)</f>
        <v>0</v>
      </c>
      <c r="R136" s="297"/>
      <c r="S136" s="294">
        <f t="shared" si="45"/>
        <v>142449.38</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11311.73</v>
      </c>
      <c r="M139" s="238"/>
      <c r="N139" s="286">
        <f t="shared" si="44"/>
        <v>11311.73</v>
      </c>
      <c r="O139" s="238"/>
      <c r="P139" s="304"/>
      <c r="Q139" s="286">
        <f>SUMIFS(BV_Data_An_Prec!$AN:$AN,BV_Data_An_Prec!$AP:$AP,$B139,BV_Data_An_Prec!$AQ:$AQ,$C139,BV_Data_An_Prec!$AR:$AR,$L$2)</f>
        <v>0</v>
      </c>
      <c r="R139" s="238"/>
      <c r="S139" s="286">
        <f t="shared" si="45"/>
        <v>11311.73</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11071.22</v>
      </c>
      <c r="M140" s="243"/>
      <c r="N140" s="266">
        <f t="shared" si="44"/>
        <v>11071.22</v>
      </c>
      <c r="O140" s="243"/>
      <c r="P140" s="38"/>
      <c r="Q140" s="266">
        <f>SUMIFS(BV_Data_An_Prec!$AN:$AN,BV_Data_An_Prec!$AP:$AP,$B140,BV_Data_An_Prec!$AQ:$AQ,$C140,BV_Data_An_Prec!$AR:$AR,$L$2)</f>
        <v>0</v>
      </c>
      <c r="R140" s="243"/>
      <c r="S140" s="266">
        <f t="shared" si="45"/>
        <v>11071.22</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13557.269999999999</v>
      </c>
      <c r="M141" s="243"/>
      <c r="N141" s="266">
        <f t="shared" si="44"/>
        <v>13557.269999999999</v>
      </c>
      <c r="O141" s="243"/>
      <c r="P141" s="38"/>
      <c r="Q141" s="266">
        <f>SUMIFS(BV_Data_An_Prec!$AN:$AN,BV_Data_An_Prec!$AP:$AP,$B141,BV_Data_An_Prec!$AQ:$AQ,$C141,BV_Data_An_Prec!$AR:$AR,$L$2)</f>
        <v>0</v>
      </c>
      <c r="R141" s="243"/>
      <c r="S141" s="266">
        <f t="shared" si="45"/>
        <v>13557.269999999999</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22716.199999999997</v>
      </c>
      <c r="M142" s="238"/>
      <c r="N142" s="286">
        <f t="shared" si="44"/>
        <v>22716.199999999997</v>
      </c>
      <c r="O142" s="238"/>
      <c r="P142" s="304"/>
      <c r="Q142" s="286">
        <f>SUMIFS(BV_Data_An_Prec!$AN:$AN,BV_Data_An_Prec!$AP:$AP,$B142,BV_Data_An_Prec!$AQ:$AQ,$C142,BV_Data_An_Prec!$AR:$AR,$L$2)</f>
        <v>0</v>
      </c>
      <c r="R142" s="238"/>
      <c r="S142" s="286">
        <f t="shared" si="45"/>
        <v>22716.199999999997</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842.06</v>
      </c>
      <c r="M143" s="243"/>
      <c r="N143" s="266">
        <f t="shared" si="44"/>
        <v>842.06</v>
      </c>
      <c r="O143" s="243"/>
      <c r="P143" s="38"/>
      <c r="Q143" s="266">
        <f>SUMIFS(BV_Data_An_Prec!$AN:$AN,BV_Data_An_Prec!$AP:$AP,$B143,BV_Data_An_Prec!$AQ:$AQ,$C143,BV_Data_An_Prec!$AR:$AR,$L$2)</f>
        <v>0</v>
      </c>
      <c r="R143" s="243"/>
      <c r="S143" s="266">
        <f t="shared" si="45"/>
        <v>842.06</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4498.0600000000004</v>
      </c>
      <c r="M145" s="243"/>
      <c r="N145" s="266">
        <f t="shared" si="44"/>
        <v>4498.0600000000004</v>
      </c>
      <c r="O145" s="243"/>
      <c r="P145" s="38"/>
      <c r="Q145" s="266">
        <f>SUMIFS(BV_Data_An_Prec!$AN:$AN,BV_Data_An_Prec!$AP:$AP,$B145,BV_Data_An_Prec!$AQ:$AQ,$C145,BV_Data_An_Prec!$AR:$AR,$L$2)</f>
        <v>0</v>
      </c>
      <c r="R145" s="243"/>
      <c r="S145" s="266">
        <f t="shared" si="45"/>
        <v>4498.0600000000004</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4118.08</v>
      </c>
      <c r="M146" s="243"/>
      <c r="N146" s="266">
        <f t="shared" si="44"/>
        <v>4118.08</v>
      </c>
      <c r="O146" s="243"/>
      <c r="P146" s="38"/>
      <c r="Q146" s="266">
        <f>SUMIFS(BV_Data_An_Prec!$AN:$AN,BV_Data_An_Prec!$AP:$AP,$B146,BV_Data_An_Prec!$AQ:$AQ,$C146,BV_Data_An_Prec!$AR:$AR,$L$2)</f>
        <v>0</v>
      </c>
      <c r="R146" s="243"/>
      <c r="S146" s="266">
        <f t="shared" si="45"/>
        <v>4118.08</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5615.85</v>
      </c>
      <c r="M147" s="243"/>
      <c r="N147" s="266">
        <f t="shared" si="44"/>
        <v>5615.85</v>
      </c>
      <c r="O147" s="243"/>
      <c r="P147" s="38"/>
      <c r="Q147" s="266">
        <f>SUMIFS(BV_Data_An_Prec!$AN:$AN,BV_Data_An_Prec!$AP:$AP,$B147,BV_Data_An_Prec!$AQ:$AQ,$C147,BV_Data_An_Prec!$AR:$AR,$L$2)</f>
        <v>0</v>
      </c>
      <c r="R147" s="243"/>
      <c r="S147" s="266">
        <f t="shared" si="45"/>
        <v>5615.85</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17923.5</v>
      </c>
      <c r="M148" s="243"/>
      <c r="N148" s="266">
        <f t="shared" si="44"/>
        <v>17923.5</v>
      </c>
      <c r="O148" s="243"/>
      <c r="P148" s="38"/>
      <c r="Q148" s="266">
        <f>SUMIFS(BV_Data_An_Prec!$AN:$AN,BV_Data_An_Prec!$AP:$AP,$B148,BV_Data_An_Prec!$AQ:$AQ,$C148,BV_Data_An_Prec!$AR:$AR,$L$2)</f>
        <v>0</v>
      </c>
      <c r="R148" s="243"/>
      <c r="S148" s="266">
        <f t="shared" si="45"/>
        <v>17923.5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1463.1</v>
      </c>
      <c r="M150" s="243"/>
      <c r="N150" s="658">
        <f t="shared" si="44"/>
        <v>1463.1</v>
      </c>
      <c r="O150" s="243"/>
      <c r="P150" s="38"/>
      <c r="Q150" s="658">
        <f>SUMIFS(BV_Data_An_Prec!$AN:$AN,BV_Data_An_Prec!$AP:$AP,$B150,BV_Data_An_Prec!$AQ:$AQ,$C150,BV_Data_An_Prec!$AR:$AR,Q$2)</f>
        <v>0</v>
      </c>
      <c r="R150" s="243"/>
      <c r="S150" s="266">
        <f t="shared" si="45"/>
        <v>1463.1</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0.25351344953659699</v>
      </c>
      <c r="L154" s="294">
        <f>+SUM(L137:L153)</f>
        <v>93581.069999999992</v>
      </c>
      <c r="M154" s="296"/>
      <c r="N154" s="294">
        <f t="shared" si="44"/>
        <v>93581.069999999992</v>
      </c>
      <c r="O154" s="295" t="s">
        <v>115</v>
      </c>
      <c r="P154" s="293" t="e">
        <f>Q154/Q$109</f>
        <v>#DIV/0!</v>
      </c>
      <c r="Q154" s="294">
        <f>+SUM(Q137:Q153)</f>
        <v>0</v>
      </c>
      <c r="R154" s="297"/>
      <c r="S154" s="294">
        <f t="shared" si="45"/>
        <v>93581.069999999992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1.2089231162747964</v>
      </c>
      <c r="L156" s="294">
        <f>L123+L136+L154</f>
        <v>446257.66000000003</v>
      </c>
      <c r="M156" s="296"/>
      <c r="N156" s="294">
        <f t="shared" ref="N156:N163" si="48">L156-F156</f>
        <v>446257.66000000003</v>
      </c>
      <c r="O156" s="295" t="s">
        <v>115</v>
      </c>
      <c r="P156" s="293" t="e">
        <f>Q156/Q$109</f>
        <v>#DIV/0!</v>
      </c>
      <c r="Q156" s="294">
        <f>Q123+Q136+Q154</f>
        <v>0</v>
      </c>
      <c r="R156" s="297"/>
      <c r="S156" s="294">
        <f t="shared" si="45"/>
        <v>446257.66000000003</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-77121.150000002119</v>
      </c>
      <c r="M166" s="960"/>
      <c r="N166" s="958">
        <f>L166-F166</f>
        <v>-77121.150000002119</v>
      </c>
      <c r="O166" s="959"/>
      <c r="P166" s="957"/>
      <c r="Q166" s="958">
        <f>Q109-Q156+Q164</f>
        <v>0</v>
      </c>
      <c r="R166" s="961"/>
      <c r="S166" s="958">
        <f t="shared" si="45"/>
        <v>-77121.150000002119</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Juin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36025666.609999999</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404</v>
      </c>
      <c r="K175" s="281">
        <f t="shared" ref="K175:K179" si="51">IF(J175=0,0,L175/J175)</f>
        <v>1676.9762623762381</v>
      </c>
      <c r="L175" s="266">
        <f>-SUMIFS(BV_Data_An_Cour!$AN:$AN,BV_Data_An_Cour!$AP:$AP,$B175,BV_Data_An_Cour!$AQ:$AQ,$C175,BV_Data_An_Cour!$AR:$AR,$L2)</f>
        <v>677498.41000000015</v>
      </c>
      <c r="M175" s="245">
        <f>J175-D175</f>
        <v>404</v>
      </c>
      <c r="N175" s="246">
        <f>L175-F175</f>
        <v>677498.41000000015</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404</v>
      </c>
      <c r="S175" s="266">
        <f t="shared" ref="S175:S179" si="54">L175-Q175</f>
        <v>677498.41000000015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122</v>
      </c>
      <c r="K179" s="281">
        <f t="shared" si="51"/>
        <v>2668.9289344262302</v>
      </c>
      <c r="L179" s="266">
        <f>-SUMIFS(BV_Data_An_Cour!$AN:$AN,BV_Data_An_Cour!$AP:$AP,$B179,BV_Data_An_Cour!$AQ:$AQ,$C179,BV_Data_An_Cour!$AR:$AR,$L2)</f>
        <v>325609.33000000007</v>
      </c>
      <c r="M179" s="245">
        <f>J179-D179</f>
        <v>122</v>
      </c>
      <c r="N179" s="246">
        <f>L179-F179</f>
        <v>325609.33000000007</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122</v>
      </c>
      <c r="S179" s="266">
        <f t="shared" si="54"/>
        <v>325609.33000000007</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526</v>
      </c>
      <c r="K182" s="269">
        <f>IF(J182&lt;=0,0,L182/J182)</f>
        <v>1907.0489353612172</v>
      </c>
      <c r="L182" s="271">
        <f>L175+L179+L177</f>
        <v>1003107.7400000002</v>
      </c>
      <c r="M182" s="272">
        <f>J182-D182</f>
        <v>526</v>
      </c>
      <c r="N182" s="271" t="e">
        <f>#REF!+#REF!+#REF!+#REF!</f>
        <v>#REF!</v>
      </c>
      <c r="O182" s="272">
        <f>O175+O177+O179</f>
        <v>0</v>
      </c>
      <c r="P182" s="269">
        <f>IF(O182&lt;=0,0,Q182/O182)</f>
        <v>0</v>
      </c>
      <c r="Q182" s="271">
        <f>Q175+Q179+Q177</f>
        <v>0</v>
      </c>
      <c r="R182" s="272">
        <f>J182-O182</f>
        <v>526</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56.279894179894178</v>
      </c>
      <c r="L188" s="303">
        <f>SUMIFS(BV_Data_An_Cour!$AN:$AN,BV_Data_An_Cour!$AP:$AP,$B188,BV_Data_An_Cour!$AQ:$AQ,$C188,BV_Data_An_Cour!$AR:$AR,$L$2)</f>
        <v>31910.7</v>
      </c>
      <c r="M188" s="243"/>
      <c r="N188" s="266">
        <f t="shared" si="56"/>
        <v>31910.7</v>
      </c>
      <c r="O188" s="243"/>
      <c r="P188" s="281" t="e">
        <f>IF($J$97=0,0,Q188/(O$94+O$95+O182))</f>
        <v>#DIV/0!</v>
      </c>
      <c r="Q188" s="303">
        <f>SUMIFS(BV_Data_An_Prec!$AN:$AN,BV_Data_An_Prec!$AP:$AP,$B188,BV_Data_An_Prec!$AQ:$AQ,$C188,BV_Data_An_Prec!$AR:$AR,$L$2)</f>
        <v>0</v>
      </c>
      <c r="R188" s="243"/>
      <c r="S188" s="266">
        <f t="shared" si="57"/>
        <v>31910.7</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249.10781305114639</v>
      </c>
      <c r="L192" s="658">
        <f>SUMIFS(BV_Data_An_Cour!$AN:$AN,BV_Data_An_Cour!$AP:$AP,$B192,BV_Data_An_Cour!$AQ:$AQ,$C192,BV_Data_An_Cour!$AR:$AR,$L$2)</f>
        <v>141244.13</v>
      </c>
      <c r="M192" s="243"/>
      <c r="N192" s="658">
        <f t="shared" si="56"/>
        <v>141244.13</v>
      </c>
      <c r="O192" s="243"/>
      <c r="P192" s="281" t="e">
        <f>IF($J$97=0,0,Q192/(O$94+O$95+O182))</f>
        <v>#DIV/0!</v>
      </c>
      <c r="Q192" s="658">
        <f>SUMIFS(BV_Data_An_Prec!$AN:$AN,BV_Data_An_Prec!$AP:$AP,$B192,BV_Data_An_Prec!$AQ:$AQ,$C192,BV_Data_An_Prec!$AR:$AR,$L$2)</f>
        <v>0</v>
      </c>
      <c r="R192" s="243"/>
      <c r="S192" s="266">
        <f t="shared" si="57"/>
        <v>141244.13</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0.46908074739071731</v>
      </c>
      <c r="L196" s="294">
        <f>SUM(L186:L195)</f>
        <v>173154.83000000002</v>
      </c>
      <c r="M196" s="296"/>
      <c r="N196" s="294">
        <f t="shared" si="56"/>
        <v>173154.83000000002</v>
      </c>
      <c r="O196" s="295" t="s">
        <v>115</v>
      </c>
      <c r="P196" s="293" t="e">
        <f>Q196/Q$109</f>
        <v>#DIV/0!</v>
      </c>
      <c r="Q196" s="294">
        <f>SUM(Q186:Q195)</f>
        <v>0</v>
      </c>
      <c r="R196" s="297"/>
      <c r="S196" s="294">
        <f t="shared" si="57"/>
        <v>173154.83000000002</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326577.74</v>
      </c>
      <c r="M197" s="243"/>
      <c r="N197" s="266">
        <f t="shared" si="56"/>
        <v>326577.74</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65451.68</v>
      </c>
      <c r="M198" s="243"/>
      <c r="N198" s="266">
        <f t="shared" si="56"/>
        <v>65451.68</v>
      </c>
      <c r="O198" s="243"/>
      <c r="P198" s="38"/>
      <c r="Q198" s="266">
        <f>SUMIFS(BV_Data_An_Prec!$AN:$AN,BV_Data_An_Prec!$AP:$AP,$B198,BV_Data_An_Prec!$AQ:$AQ,$C198,BV_Data_An_Prec!$AR:$AR,$L$2)</f>
        <v>0</v>
      </c>
      <c r="R198" s="243"/>
      <c r="S198" s="266">
        <f t="shared" ref="S198:S227" si="61">L198-Q198</f>
        <v>65451.68</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234639.99</v>
      </c>
      <c r="M199" s="233"/>
      <c r="N199" s="303">
        <f t="shared" si="56"/>
        <v>234639.99</v>
      </c>
      <c r="O199" s="233"/>
      <c r="P199" s="301"/>
      <c r="Q199" s="303">
        <f>SUMIFS(BV_Data_An_Prec!$AN:$AN,BV_Data_An_Prec!$AP:$AP,$B199,BV_Data_An_Prec!$AQ:$AQ,$C199,BV_Data_An_Prec!$AR:$AR,$L$2)</f>
        <v>0</v>
      </c>
      <c r="R199" s="233"/>
      <c r="S199" s="303">
        <f t="shared" si="61"/>
        <v>234639.99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15395.81</v>
      </c>
      <c r="M204" s="243"/>
      <c r="N204" s="266">
        <f t="shared" si="56"/>
        <v>15395.81</v>
      </c>
      <c r="O204" s="243"/>
      <c r="P204" s="38"/>
      <c r="Q204" s="266">
        <f>SUMIFS(BV_Data_An_Prec!$AN:$AN,BV_Data_An_Prec!$AP:$AP,$B204,BV_Data_An_Prec!$AQ:$AQ,$C204,BV_Data_An_Prec!$AR:$AR,$L$2)</f>
        <v>0</v>
      </c>
      <c r="R204" s="243"/>
      <c r="S204" s="266">
        <f t="shared" si="61"/>
        <v>15395.81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24268.27</v>
      </c>
      <c r="M205" s="233"/>
      <c r="N205" s="303">
        <f t="shared" si="56"/>
        <v>24268.27</v>
      </c>
      <c r="O205" s="233"/>
      <c r="P205" s="301"/>
      <c r="Q205" s="303">
        <f>SUMIFS(BV_Data_An_Prec!$AN:$AN,BV_Data_An_Prec!$AP:$AP,$B205,BV_Data_An_Prec!$AQ:$AQ,$C205,BV_Data_An_Prec!$AR:$AR,$L$2)</f>
        <v>0</v>
      </c>
      <c r="R205" s="233"/>
      <c r="S205" s="303">
        <f t="shared" si="61"/>
        <v>24268.27</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14904.9</v>
      </c>
      <c r="M206" s="243"/>
      <c r="N206" s="266">
        <f t="shared" si="56"/>
        <v>14904.9</v>
      </c>
      <c r="O206" s="243"/>
      <c r="P206" s="38"/>
      <c r="Q206" s="266">
        <f>SUMIFS(BV_Data_An_Prec!$AN:$AN,BV_Data_An_Prec!$AP:$AP,$B206,BV_Data_An_Prec!$AQ:$AQ,$C206,BV_Data_An_Prec!$AR:$AR,$L$2)</f>
        <v>0</v>
      </c>
      <c r="R206" s="243"/>
      <c r="S206" s="266">
        <f t="shared" si="61"/>
        <v>14904.9</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1.8454917667179653</v>
      </c>
      <c r="L209" s="294">
        <f>SUM(L197:L208)</f>
        <v>681238.39</v>
      </c>
      <c r="M209" s="296"/>
      <c r="N209" s="294">
        <f t="shared" si="56"/>
        <v>681238.39</v>
      </c>
      <c r="O209" s="295" t="s">
        <v>115</v>
      </c>
      <c r="P209" s="293" t="e">
        <f>Q209/Q$109</f>
        <v>#DIV/0!</v>
      </c>
      <c r="Q209" s="294">
        <f>SUM(Q197:Q208)</f>
        <v>0</v>
      </c>
      <c r="R209" s="297"/>
      <c r="S209" s="294">
        <f t="shared" si="61"/>
        <v>681238.39</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1531.37</v>
      </c>
      <c r="M218" s="243"/>
      <c r="N218" s="266">
        <f t="shared" si="56"/>
        <v>1531.37</v>
      </c>
      <c r="O218" s="243"/>
      <c r="P218" s="38"/>
      <c r="Q218" s="266">
        <f>SUMIFS(BV_Data_An_Prec!$AN:$AN,BV_Data_An_Prec!$AP:$AP,$B218,BV_Data_An_Prec!$AQ:$AQ,$C218,BV_Data_An_Prec!$AR:$AR,$L$2)</f>
        <v>0</v>
      </c>
      <c r="R218" s="243"/>
      <c r="S218" s="266">
        <f t="shared" si="61"/>
        <v>1531.37</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5065.53</v>
      </c>
      <c r="M220" s="243"/>
      <c r="N220" s="266">
        <f t="shared" si="56"/>
        <v>5065.53</v>
      </c>
      <c r="O220" s="243"/>
      <c r="P220" s="38"/>
      <c r="Q220" s="266">
        <f>SUMIFS(BV_Data_An_Prec!$AN:$AN,BV_Data_An_Prec!$AP:$AP,$B220,BV_Data_An_Prec!$AQ:$AQ,$C220,BV_Data_An_Prec!$AR:$AR,$L$2)</f>
        <v>0</v>
      </c>
      <c r="R220" s="243"/>
      <c r="S220" s="266">
        <f t="shared" si="61"/>
        <v>5065.53</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2.6218755765990347E-2</v>
      </c>
      <c r="L227" s="294">
        <f>+SUM(L210:L226)</f>
        <v>9678.2999999999993</v>
      </c>
      <c r="M227" s="296"/>
      <c r="N227" s="294">
        <f t="shared" si="56"/>
        <v>9678.2999999999993</v>
      </c>
      <c r="O227" s="295" t="s">
        <v>115</v>
      </c>
      <c r="P227" s="293" t="e">
        <f>Q227/Q$109</f>
        <v>#DIV/0!</v>
      </c>
      <c r="Q227" s="294">
        <f>+SUM(Q210:Q226)</f>
        <v>0</v>
      </c>
      <c r="R227" s="297"/>
      <c r="S227" s="294">
        <f t="shared" si="61"/>
        <v>9678.2999999999993</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2.3407912698746731</v>
      </c>
      <c r="L229" s="294">
        <f>L196+L209+L227</f>
        <v>864071.52</v>
      </c>
      <c r="M229" s="296"/>
      <c r="N229" s="294">
        <f t="shared" ref="N229:N236" si="62">L229-F229</f>
        <v>864071.52</v>
      </c>
      <c r="O229" s="295" t="s">
        <v>115</v>
      </c>
      <c r="P229" s="293" t="e">
        <f>Q229/Q$109</f>
        <v>#DIV/0!</v>
      </c>
      <c r="Q229" s="294">
        <f>Q196+Q209+Q227</f>
        <v>0</v>
      </c>
      <c r="R229" s="297"/>
      <c r="S229" s="294">
        <f t="shared" ref="S229:S236" si="63">L229-Q229</f>
        <v>864071.52</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139036.2200000002</v>
      </c>
      <c r="M239" s="960"/>
      <c r="N239" s="958" t="e">
        <f>L239-F239</f>
        <v>#REF!</v>
      </c>
      <c r="O239" s="959"/>
      <c r="P239" s="957"/>
      <c r="Q239" s="958">
        <f>Q182-Q229+Q237</f>
        <v>0</v>
      </c>
      <c r="R239" s="961"/>
      <c r="S239" s="958">
        <f>L239-Q239</f>
        <v>139036.2200000002</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Juin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1516</v>
      </c>
      <c r="K246" s="281">
        <f>-SUMIFS(BV_Data_An_Cour!$AN:$AN,BV_Data_An_Cour!$AS:$AS,"Oui",BV_Data_An_Cour!$AP:$AP,$B246,BV_Data_An_Cour!$AQ:$AQ,$C246)</f>
        <v>525403.76</v>
      </c>
      <c r="L246" s="266">
        <f>-SUMIFS(BV_Data_An_Cour!$AN:$AN,BV_Data_An_Cour!$AP:$AP,$B246,BV_Data_An_Cour!$AQ:$AQ,$C246,BV_Data_An_Cour!$AR:$AR,$L$2)</f>
        <v>406591.70999999996</v>
      </c>
      <c r="M246" s="282" t="e">
        <f>(K246-E246)/E246</f>
        <v>#DIV/0!</v>
      </c>
      <c r="N246" s="266">
        <f>L246-F246</f>
        <v>406591.70999999996</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406591.70999999996</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0.77386524603478279</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346.57240105540899</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2011</v>
      </c>
      <c r="K249" s="336">
        <f>-SUMIFS(BV_Data_An_Cour!$AN:$AN,BV_Data_An_Cour!$AS:$AS,"Oui",BV_Data_An_Cour!$AP:$AP,$B249,BV_Data_An_Cour!$AQ:$AQ,$C249)</f>
        <v>312653.5</v>
      </c>
      <c r="L249" s="266">
        <f>-SUMIFS(BV_Data_An_Cour!$AN:$AN,BV_Data_An_Cour!$AP:$AP,$B249,BV_Data_An_Cour!$AQ:$AQ,$C249,BV_Data_An_Cour!$AR:$AR,$L$2)</f>
        <v>214278.26</v>
      </c>
      <c r="M249" s="282" t="e">
        <f>(K249-E249)/E249</f>
        <v>#DIV/0!</v>
      </c>
      <c r="N249" s="303">
        <f>L249-F249</f>
        <v>214278.26</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214278.26</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0.6853537862202087</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155.47165589259075</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3505</v>
      </c>
      <c r="K252" s="336">
        <f>-SUMIFS(BV_Data_An_Cour!$AN:$AN,BV_Data_An_Cour!$AS:$AS,"Oui",BV_Data_An_Cour!$AP:$AP,$B252,BV_Data_An_Cour!$AQ:$AQ,$C252)</f>
        <v>465901.51</v>
      </c>
      <c r="L252" s="266">
        <f>-SUMIFS(BV_Data_An_Cour!$AN:$AN,BV_Data_An_Cour!$AP:$AP,$B252,BV_Data_An_Cour!$AQ:$AQ,$C252,BV_Data_An_Cour!$AR:$AR,$L$2)</f>
        <v>338394.12</v>
      </c>
      <c r="M252" s="282" t="e">
        <f>(K252-E252)/E252</f>
        <v>#DIV/0!</v>
      </c>
      <c r="N252" s="266">
        <f>L252-F252</f>
        <v>338394.12</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338394.12</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0.72632114886255683</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132.9248245363766</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20195.849999999999</v>
      </c>
      <c r="M258" s="267"/>
      <c r="N258" s="266">
        <f>L258-F258</f>
        <v>20195.849999999999</v>
      </c>
      <c r="O258" s="267"/>
      <c r="P258" s="281"/>
      <c r="Q258" s="281">
        <f>-SUMIFS(BV_Data_An_Prec!$AN:$AN,BV_Data_An_Prec!$AP:$AP,$B258,BV_Data_An_Prec!$AQ:$AQ,$C258,BV_Data_An_Prec!$AR:$AR,$L$2)</f>
        <v>0</v>
      </c>
      <c r="R258" s="345"/>
      <c r="S258" s="266">
        <f t="shared" ref="S258:S259" si="65">L258-Q258</f>
        <v>20195.849999999999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7032</v>
      </c>
      <c r="K259" s="976">
        <f t="shared" si="68"/>
        <v>1303958.77</v>
      </c>
      <c r="L259" s="977">
        <f t="shared" si="68"/>
        <v>979459.94</v>
      </c>
      <c r="M259" s="978" t="e">
        <f>(K259-E259)/E259</f>
        <v>#DIV/0!</v>
      </c>
      <c r="N259" s="977">
        <f>L259-F259</f>
        <v>979459.94</v>
      </c>
      <c r="O259" s="975">
        <f t="shared" ref="O259:Q259" si="69">O246+O249+O252+O255+O258</f>
        <v>0</v>
      </c>
      <c r="P259" s="976">
        <f t="shared" si="69"/>
        <v>0</v>
      </c>
      <c r="Q259" s="977">
        <f t="shared" si="69"/>
        <v>0</v>
      </c>
      <c r="R259" s="254">
        <f>IF(O259=0,0,J259/O259)</f>
        <v>0</v>
      </c>
      <c r="S259" s="348">
        <f t="shared" si="65"/>
        <v>979459.94</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185.43213452787259</v>
      </c>
      <c r="L260" s="255">
        <f>IF(L259=0,0,L259/K259)</f>
        <v>0.75114333561328783</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1839</v>
      </c>
      <c r="K262" s="281">
        <f>-SUMIFS(BV_Data_An_Cour!$AN:$AN,BV_Data_An_Cour!$AS:$AS,"Oui",BV_Data_An_Cour!$AP:$AP,$B262,BV_Data_An_Cour!$AQ:$AQ,$C262)</f>
        <v>140388.35999999999</v>
      </c>
      <c r="L262" s="266">
        <f>-SUMIFS(BV_Data_An_Cour!$AN:$AN,BV_Data_An_Cour!$AP:$AP,$B262,BV_Data_An_Cour!$AQ:$AQ,$C262,BV_Data_An_Cour!$AR:$AR,$L$2)</f>
        <v>29214.109999999979</v>
      </c>
      <c r="M262" s="282">
        <f>IF(E262=0,0,(K262-E262)/E262)</f>
        <v>0</v>
      </c>
      <c r="N262" s="266">
        <f>L262-F262</f>
        <v>29214.109999999979</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29214.109999999979</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0.2080949588698093</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1444347.13</v>
      </c>
      <c r="L268" s="271">
        <f t="shared" si="71"/>
        <v>1008674.0499999999</v>
      </c>
      <c r="M268" s="272" t="e">
        <f>L269-F269</f>
        <v>#DIV/0!</v>
      </c>
      <c r="N268" s="271">
        <f>L268-F268</f>
        <v>1008674.0499999999</v>
      </c>
      <c r="O268" s="272"/>
      <c r="P268" s="269">
        <f t="shared" ref="P268" si="72">P259+P262+P265</f>
        <v>0</v>
      </c>
      <c r="Q268" s="271">
        <f>Q259+Q262+Q265</f>
        <v>0</v>
      </c>
      <c r="R268" s="272" t="e">
        <f>L269-Q269</f>
        <v>#DIV/0!</v>
      </c>
      <c r="S268" s="271">
        <f>L268-Q268</f>
        <v>1008674.0499999999</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0.69835985342387874</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52137.09</v>
      </c>
      <c r="M272" s="243"/>
      <c r="N272" s="266">
        <f t="shared" ref="N272:N303" si="73">L272-F272</f>
        <v>52137.09</v>
      </c>
      <c r="O272" s="243"/>
      <c r="P272" s="38"/>
      <c r="Q272" s="266">
        <f>SUMIFS(BV_Data_An_Prec!$AN:$AN,BV_Data_An_Prec!$AP:$AP,$B272,BV_Data_An_Prec!$AQ:$AQ,$C272,BV_Data_An_Prec!$AR:$AR,$L$2)</f>
        <v>0</v>
      </c>
      <c r="R272" s="243"/>
      <c r="S272" s="266">
        <f t="shared" ref="S272:S303" si="74">L272-Q272</f>
        <v>52137.09</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153417.06</v>
      </c>
      <c r="M273" s="243"/>
      <c r="N273" s="266">
        <f t="shared" si="73"/>
        <v>153417.06</v>
      </c>
      <c r="O273" s="243"/>
      <c r="P273" s="38"/>
      <c r="Q273" s="266">
        <f>SUMIFS(BV_Data_An_Prec!$AN:$AN,BV_Data_An_Prec!$AP:$AP,$B273,BV_Data_An_Prec!$AQ:$AQ,$C273,BV_Data_An_Prec!$AR:$AR,$L$2)</f>
        <v>0</v>
      </c>
      <c r="R273" s="243"/>
      <c r="S273" s="266">
        <f t="shared" si="74"/>
        <v>153417.06</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167924.14</v>
      </c>
      <c r="M274" s="233"/>
      <c r="N274" s="303">
        <f t="shared" si="73"/>
        <v>167924.14</v>
      </c>
      <c r="O274" s="233"/>
      <c r="P274" s="301"/>
      <c r="Q274" s="303">
        <f>SUMIFS(BV_Data_An_Prec!$AN:$AN,BV_Data_An_Prec!$AP:$AP,$B274,BV_Data_An_Prec!$AQ:$AQ,$C274,BV_Data_An_Prec!$AR:$AR,$L$2)</f>
        <v>0</v>
      </c>
      <c r="R274" s="233"/>
      <c r="S274" s="303">
        <f t="shared" si="74"/>
        <v>167924.14</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97373.06</v>
      </c>
      <c r="M279" s="243"/>
      <c r="N279" s="266">
        <f t="shared" si="73"/>
        <v>97373.06</v>
      </c>
      <c r="O279" s="243"/>
      <c r="P279" s="38"/>
      <c r="Q279" s="266">
        <f>SUMIFS(BV_Data_An_Prec!$AN:$AN,BV_Data_An_Prec!$AP:$AP,$B279,BV_Data_An_Prec!$AQ:$AQ,$C279,BV_Data_An_Prec!$AR:$AR,$L$2)</f>
        <v>0</v>
      </c>
      <c r="R279" s="243"/>
      <c r="S279" s="266">
        <f t="shared" si="74"/>
        <v>97373.06</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115176.26</v>
      </c>
      <c r="M280" s="233"/>
      <c r="N280" s="303">
        <f t="shared" si="73"/>
        <v>115176.26</v>
      </c>
      <c r="O280" s="233"/>
      <c r="P280" s="301"/>
      <c r="Q280" s="303">
        <f>SUMIFS(BV_Data_An_Prec!$AN:$AN,BV_Data_An_Prec!$AP:$AP,$B280,BV_Data_An_Prec!$AQ:$AQ,$C280,BV_Data_An_Prec!$AR:$AR,$L$2)</f>
        <v>0</v>
      </c>
      <c r="R280" s="233"/>
      <c r="S280" s="303">
        <f t="shared" si="74"/>
        <v>115176.26</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64946.559999999998</v>
      </c>
      <c r="M281" s="243"/>
      <c r="N281" s="266">
        <f t="shared" si="73"/>
        <v>64946.559999999998</v>
      </c>
      <c r="O281" s="243"/>
      <c r="P281" s="38"/>
      <c r="Q281" s="266">
        <f>SUMIFS(BV_Data_An_Prec!$AN:$AN,BV_Data_An_Prec!$AP:$AP,$B281,BV_Data_An_Prec!$AQ:$AQ,$C281,BV_Data_An_Prec!$AR:$AR,$L$2)</f>
        <v>0</v>
      </c>
      <c r="R281" s="243"/>
      <c r="S281" s="266">
        <f t="shared" si="74"/>
        <v>64946.559999999998</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6459.24</v>
      </c>
      <c r="M282" s="243"/>
      <c r="N282" s="266">
        <f t="shared" si="73"/>
        <v>6459.24</v>
      </c>
      <c r="O282" s="243"/>
      <c r="P282" s="38"/>
      <c r="Q282" s="266">
        <f>SUMIFS(BV_Data_An_Prec!$AN:$AN,BV_Data_An_Prec!$AP:$AP,$B282,BV_Data_An_Prec!$AQ:$AQ,$C282,BV_Data_An_Prec!$AR:$AR,$L$2)</f>
        <v>0</v>
      </c>
      <c r="R282" s="243"/>
      <c r="S282" s="266">
        <f t="shared" si="74"/>
        <v>6459.24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0.6517798390867694</v>
      </c>
      <c r="L284" s="294">
        <f>+SUM(L272:L283)</f>
        <v>657433.40999999992</v>
      </c>
      <c r="M284" s="296"/>
      <c r="N284" s="294">
        <f t="shared" si="73"/>
        <v>657433.40999999992</v>
      </c>
      <c r="O284" s="295" t="s">
        <v>171</v>
      </c>
      <c r="P284" s="293" t="e">
        <f>Q284/Q$268</f>
        <v>#DIV/0!</v>
      </c>
      <c r="Q284" s="294">
        <f>+SUM(Q272:Q283)</f>
        <v>0</v>
      </c>
      <c r="R284" s="297"/>
      <c r="S284" s="294">
        <f t="shared" si="74"/>
        <v>657433.40999999992</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13295.33</v>
      </c>
      <c r="M285" s="243"/>
      <c r="N285" s="266">
        <f t="shared" si="73"/>
        <v>13295.33</v>
      </c>
      <c r="O285" s="243"/>
      <c r="P285" s="38"/>
      <c r="Q285" s="266">
        <f>SUMIFS(BV_Data_An_Prec!$AN:$AN,BV_Data_An_Prec!$AP:$AP,$B285,BV_Data_An_Prec!$AQ:$AQ,$C285,BV_Data_An_Prec!$AR:$AR,$L$2)</f>
        <v>0</v>
      </c>
      <c r="R285" s="243"/>
      <c r="S285" s="266">
        <f t="shared" si="74"/>
        <v>13295.33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12554.91</v>
      </c>
      <c r="M286" s="243"/>
      <c r="N286" s="266">
        <f t="shared" si="73"/>
        <v>12554.91</v>
      </c>
      <c r="O286" s="243"/>
      <c r="P286" s="38"/>
      <c r="Q286" s="266">
        <f>SUMIFS(BV_Data_An_Prec!$AN:$AN,BV_Data_An_Prec!$AP:$AP,$B286,BV_Data_An_Prec!$AQ:$AQ,$C286,BV_Data_An_Prec!$AR:$AR,$L$2)</f>
        <v>0</v>
      </c>
      <c r="R286" s="243"/>
      <c r="S286" s="266">
        <f t="shared" si="74"/>
        <v>12554.91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-55650.86</v>
      </c>
      <c r="M287" s="238"/>
      <c r="N287" s="286">
        <f t="shared" si="73"/>
        <v>-55650.86</v>
      </c>
      <c r="O287" s="238"/>
      <c r="P287" s="304"/>
      <c r="Q287" s="266">
        <f>SUMIFS(BV_Data_An_Prec!$AN:$AN,BV_Data_An_Prec!$AP:$AP,$B287,BV_Data_An_Prec!$AQ:$AQ,$C287,BV_Data_An_Prec!$AR:$AR,$L$2)</f>
        <v>0</v>
      </c>
      <c r="R287" s="238"/>
      <c r="S287" s="286">
        <f t="shared" si="74"/>
        <v>-55650.86</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14856.19</v>
      </c>
      <c r="M288" s="243"/>
      <c r="N288" s="266">
        <f t="shared" si="73"/>
        <v>14856.19</v>
      </c>
      <c r="O288" s="243"/>
      <c r="P288" s="38"/>
      <c r="Q288" s="303">
        <f>SUMIFS(BV_Data_An_Prec!$AN:$AN,BV_Data_An_Prec!$AP:$AP,$B288,BV_Data_An_Prec!$AQ:$AQ,$C288,BV_Data_An_Prec!$AR:$AR,$L$2)</f>
        <v>0</v>
      </c>
      <c r="R288" s="243"/>
      <c r="S288" s="266">
        <f t="shared" si="74"/>
        <v>14856.19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20676.219999999998</v>
      </c>
      <c r="M289" s="243"/>
      <c r="N289" s="266">
        <f t="shared" si="73"/>
        <v>20676.219999999998</v>
      </c>
      <c r="O289" s="243"/>
      <c r="P289" s="38"/>
      <c r="Q289" s="266">
        <f>SUMIFS(BV_Data_An_Prec!$AN:$AN,BV_Data_An_Prec!$AP:$AP,$B289,BV_Data_An_Prec!$AQ:$AQ,$C289,BV_Data_An_Prec!$AR:$AR,$L$2)</f>
        <v>0</v>
      </c>
      <c r="R289" s="243"/>
      <c r="S289" s="266">
        <f t="shared" si="74"/>
        <v>20676.219999999998</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74851.08</v>
      </c>
      <c r="M290" s="238"/>
      <c r="N290" s="286">
        <f t="shared" si="73"/>
        <v>74851.08</v>
      </c>
      <c r="O290" s="238"/>
      <c r="P290" s="304"/>
      <c r="Q290" s="266">
        <f>SUMIFS(BV_Data_An_Prec!$AN:$AN,BV_Data_An_Prec!$AP:$AP,$B290,BV_Data_An_Prec!$AQ:$AQ,$C290,BV_Data_An_Prec!$AR:$AR,$L$2)</f>
        <v>0</v>
      </c>
      <c r="R290" s="238"/>
      <c r="S290" s="286">
        <f t="shared" si="74"/>
        <v>74851.08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26504.52</v>
      </c>
      <c r="M292" s="243"/>
      <c r="N292" s="266">
        <f t="shared" si="73"/>
        <v>26504.52</v>
      </c>
      <c r="O292" s="243"/>
      <c r="P292" s="38"/>
      <c r="Q292" s="266">
        <f>SUMIFS(BV_Data_An_Prec!$AN:$AN,BV_Data_An_Prec!$AP:$AP,$B292,BV_Data_An_Prec!$AQ:$AQ,$C292,BV_Data_An_Prec!$AR:$AR,$L$2)</f>
        <v>0</v>
      </c>
      <c r="R292" s="243"/>
      <c r="S292" s="266">
        <f t="shared" si="74"/>
        <v>26504.52</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8658.26</v>
      </c>
      <c r="M294" s="243"/>
      <c r="N294" s="266">
        <f t="shared" si="73"/>
        <v>8658.26</v>
      </c>
      <c r="O294" s="243"/>
      <c r="P294" s="281"/>
      <c r="Q294" s="266">
        <f>SUMIFS(BV_Data_An_Prec!$AN:$AN,BV_Data_An_Prec!$AP:$AP,$B294,BV_Data_An_Prec!$AQ:$AQ,$C294,BV_Data_An_Prec!$AR:$AR,$L$2)</f>
        <v>0</v>
      </c>
      <c r="R294" s="243"/>
      <c r="S294" s="266">
        <f t="shared" si="74"/>
        <v>8658.26</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7032.02</v>
      </c>
      <c r="M295" s="243"/>
      <c r="N295" s="266">
        <f t="shared" si="73"/>
        <v>7032.02</v>
      </c>
      <c r="O295" s="243"/>
      <c r="P295" s="38"/>
      <c r="Q295" s="266">
        <f>SUMIFS(BV_Data_An_Prec!$AN:$AN,BV_Data_An_Prec!$AP:$AP,$B295,BV_Data_An_Prec!$AQ:$AQ,$C295,BV_Data_An_Prec!$AR:$AR,$L$2)</f>
        <v>0</v>
      </c>
      <c r="R295" s="243"/>
      <c r="S295" s="266">
        <f t="shared" si="74"/>
        <v>7032.02</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3321.14</v>
      </c>
      <c r="M296" s="243"/>
      <c r="N296" s="266">
        <f t="shared" si="73"/>
        <v>3321.14</v>
      </c>
      <c r="O296" s="243"/>
      <c r="P296" s="38"/>
      <c r="Q296" s="266">
        <f>SUMIFS(BV_Data_An_Prec!$AN:$AN,BV_Data_An_Prec!$AP:$AP,$B296,BV_Data_An_Prec!$AQ:$AQ,$C296,BV_Data_An_Prec!$AR:$AR,$L$2)</f>
        <v>0</v>
      </c>
      <c r="R296" s="243"/>
      <c r="S296" s="266">
        <f t="shared" si="74"/>
        <v>3321.14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3262.58</v>
      </c>
      <c r="M297" s="243"/>
      <c r="N297" s="266">
        <f t="shared" si="73"/>
        <v>3262.58</v>
      </c>
      <c r="O297" s="243"/>
      <c r="P297" s="38"/>
      <c r="Q297" s="266">
        <f>SUMIFS(BV_Data_An_Prec!$AN:$AN,BV_Data_An_Prec!$AP:$AP,$B297,BV_Data_An_Prec!$AQ:$AQ,$C297,BV_Data_An_Prec!$AR:$AR,$L$2)</f>
        <v>0</v>
      </c>
      <c r="R297" s="243"/>
      <c r="S297" s="266">
        <f t="shared" si="74"/>
        <v>3262.58</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14434.13</v>
      </c>
      <c r="M298" s="243"/>
      <c r="N298" s="266">
        <f t="shared" si="73"/>
        <v>14434.13</v>
      </c>
      <c r="O298" s="243"/>
      <c r="P298" s="38"/>
      <c r="Q298" s="266">
        <f>SUMIFS(BV_Data_An_Prec!$AN:$AN,BV_Data_An_Prec!$AP:$AP,$B298,BV_Data_An_Prec!$AQ:$AQ,$C298,BV_Data_An_Prec!$AR:$AR,$L$2)</f>
        <v>0</v>
      </c>
      <c r="R298" s="243"/>
      <c r="S298" s="266">
        <f t="shared" si="74"/>
        <v>14434.13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2152.0500000000002</v>
      </c>
      <c r="M299" s="243"/>
      <c r="N299" s="266">
        <f t="shared" si="73"/>
        <v>2152.0500000000002</v>
      </c>
      <c r="O299" s="243"/>
      <c r="P299" s="38"/>
      <c r="Q299" s="266">
        <f>SUMIFS(BV_Data_An_Prec!$AN:$AN,BV_Data_An_Prec!$AP:$AP,$B299,BV_Data_An_Prec!$AQ:$AQ,$C299,BV_Data_An_Prec!$AR:$AR,Q$2)</f>
        <v>0</v>
      </c>
      <c r="R299" s="243"/>
      <c r="S299" s="266">
        <f t="shared" si="74"/>
        <v>2152.0500000000002</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0.14469250002019979</v>
      </c>
      <c r="L303" s="294">
        <f>+SUM(L285:L302)</f>
        <v>145947.56999999998</v>
      </c>
      <c r="M303" s="296"/>
      <c r="N303" s="294">
        <f t="shared" si="73"/>
        <v>145947.56999999998</v>
      </c>
      <c r="O303" s="295" t="s">
        <v>171</v>
      </c>
      <c r="P303" s="293" t="e">
        <f>Q303/Q$268</f>
        <v>#DIV/0!</v>
      </c>
      <c r="Q303" s="294">
        <f>+SUM(Q285:Q302)</f>
        <v>0</v>
      </c>
      <c r="R303" s="297"/>
      <c r="S303" s="294">
        <f t="shared" si="74"/>
        <v>145947.56999999998</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0.79647233910696913</v>
      </c>
      <c r="L305" s="294">
        <f>L284+L303</f>
        <v>803380.97999999986</v>
      </c>
      <c r="M305" s="296"/>
      <c r="N305" s="294">
        <f>L305-F305</f>
        <v>803380.97999999986</v>
      </c>
      <c r="O305" s="295" t="s">
        <v>115</v>
      </c>
      <c r="P305" s="293" t="e">
        <f>Q305/Q$268</f>
        <v>#DIV/0!</v>
      </c>
      <c r="Q305" s="294">
        <f>Q284+Q303</f>
        <v>0</v>
      </c>
      <c r="R305" s="297"/>
      <c r="S305" s="294">
        <f>L305-Q305</f>
        <v>803380.97999999986</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205293.07000000007</v>
      </c>
      <c r="M307" s="960"/>
      <c r="N307" s="958">
        <f>L307-F307</f>
        <v>205293.07000000007</v>
      </c>
      <c r="O307" s="959"/>
      <c r="P307" s="957"/>
      <c r="Q307" s="958">
        <f>Q268-Q305</f>
        <v>0</v>
      </c>
      <c r="R307" s="961"/>
      <c r="S307" s="958">
        <f>L307-Q307</f>
        <v>205293.07000000007</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Juin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838691.2</v>
      </c>
      <c r="L315" s="266">
        <f>-SUMIFS(BV_Data_An_Cour!$AN:$AN,BV_Data_An_Cour!$AP:$AP,$B315,BV_Data_An_Cour!$AQ:$AQ,$C315,BV_Data_An_Cour!$AR:$AR,$L$2)</f>
        <v>318977.74</v>
      </c>
      <c r="M315" s="282">
        <f>IFERROR((K315-E315)/E315,0)</f>
        <v>0</v>
      </c>
      <c r="N315" s="266">
        <f>L315-F315</f>
        <v>318977.74</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318977.74</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0.38032799199514672</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19946.7</v>
      </c>
      <c r="L318" s="303">
        <f>-SUMIFS(BV_Data_An_Cour!$AN:$AN,BV_Data_An_Cour!$AP:$AP,$B318,BV_Data_An_Cour!$AQ:$AQ,$C318,BV_Data_An_Cour!$AR:$AR,$L$2)</f>
        <v>9905.1800000000021</v>
      </c>
      <c r="M318" s="340">
        <f>IFERROR((K318-E318)/E318,0)</f>
        <v>0</v>
      </c>
      <c r="N318" s="303">
        <f>L318-F318</f>
        <v>9905.1800000000021</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9905.1800000000021</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0.49658239207487964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-2831.34</v>
      </c>
      <c r="M324" s="928"/>
      <c r="N324" s="929"/>
      <c r="O324" s="681"/>
      <c r="P324" s="38"/>
      <c r="Q324" s="266">
        <f>-SUMIFS(BV_Data_An_Prec!$AN:$AN,BV_Data_An_Prec!$AP:$AP,$B324,BV_Data_An_Prec!$AQ:$AQ,$C324,BV_Data_An_Prec!$AR:$AR,$L$2)</f>
        <v>0</v>
      </c>
      <c r="R324" s="282">
        <f>IF(O324=0,0,J324/O324)</f>
        <v>0</v>
      </c>
      <c r="S324" s="266">
        <f>L324-Q324</f>
        <v>-2831.34</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858637.89999999991</v>
      </c>
      <c r="L326" s="271">
        <f>L318+L321+L315+L324</f>
        <v>326051.57999999996</v>
      </c>
      <c r="M326" s="272" t="e">
        <f>L327-F327</f>
        <v>#DIV/0!</v>
      </c>
      <c r="N326" s="271">
        <f>L326-F326</f>
        <v>326051.57999999996</v>
      </c>
      <c r="O326" s="272"/>
      <c r="P326" s="269">
        <f t="shared" ref="P326" si="78">P318+P321+P315</f>
        <v>0</v>
      </c>
      <c r="Q326" s="271">
        <f>Q318+Q321+Q315+Q324</f>
        <v>0</v>
      </c>
      <c r="R326" s="272"/>
      <c r="S326" s="271">
        <f>L326-Q326</f>
        <v>326051.57999999996</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52483.76</v>
      </c>
      <c r="M330" s="243"/>
      <c r="N330" s="266">
        <f t="shared" ref="N330:N360" si="79">L330-F330</f>
        <v>52483.76</v>
      </c>
      <c r="O330" s="243"/>
      <c r="P330" s="38"/>
      <c r="Q330" s="266" cm="1">
        <f t="array" ref="Q330">+SUMPRODUCT(('Réel 2024'!$A$8:$A$501=$A330)*('Réel 2024'!$C$3:$AO$3=Q$2),'Réel 2024'!$C$8:$AO$501)</f>
        <v>0</v>
      </c>
      <c r="R330" s="243"/>
      <c r="S330" s="266">
        <f t="shared" ref="S330:S361" si="80">L330-Q330</f>
        <v>52483.76</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46591.12</v>
      </c>
      <c r="M331" s="243"/>
      <c r="N331" s="266">
        <f t="shared" si="79"/>
        <v>46591.12</v>
      </c>
      <c r="O331" s="243"/>
      <c r="P331" s="38"/>
      <c r="Q331" s="266" cm="1">
        <f t="array" ref="Q331">+SUMPRODUCT(('Réel 2024'!$A$8:$A$501=$A331)*('Réel 2024'!$C$3:$AO$3=Q$2),'Réel 2024'!$C$8:$AO$501)</f>
        <v>0</v>
      </c>
      <c r="R331" s="243"/>
      <c r="S331" s="266">
        <f t="shared" si="80"/>
        <v>46591.12</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0</v>
      </c>
      <c r="M332" s="233"/>
      <c r="N332" s="303">
        <f t="shared" si="79"/>
        <v>0</v>
      </c>
      <c r="O332" s="233"/>
      <c r="P332" s="301"/>
      <c r="Q332" s="303" cm="1">
        <f t="array" ref="Q332">+SUMPRODUCT(('Réel 2024'!$A$8:$A$501=$A332)*('Réel 2024'!$C$3:$AO$3=Q$2),'Réel 2024'!$C$8:$AO$501)</f>
        <v>0</v>
      </c>
      <c r="R332" s="233"/>
      <c r="S332" s="303">
        <f t="shared" si="80"/>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21820.63</v>
      </c>
      <c r="M337" s="243"/>
      <c r="N337" s="266">
        <f t="shared" si="79"/>
        <v>21820.63</v>
      </c>
      <c r="O337" s="243"/>
      <c r="P337" s="38"/>
      <c r="Q337" s="266" cm="1">
        <f t="array" ref="Q337">+SUMPRODUCT(('Réel 2024'!$A$8:$A$501=$A337)*('Réel 2024'!$C$3:$AO$3=Q$2),'Réel 2024'!$C$8:$AO$501)</f>
        <v>0</v>
      </c>
      <c r="R337" s="243"/>
      <c r="S337" s="266">
        <f t="shared" si="80"/>
        <v>21820.63</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25491.599999999999</v>
      </c>
      <c r="M338" s="233"/>
      <c r="N338" s="303">
        <f t="shared" si="79"/>
        <v>25491.599999999999</v>
      </c>
      <c r="O338" s="233"/>
      <c r="P338" s="301"/>
      <c r="Q338" s="303" cm="1">
        <f t="array" ref="Q338">+SUMPRODUCT(('Réel 2024'!$A$8:$A$501=$A338)*('Réel 2024'!$C$3:$AO$3=Q$2),'Réel 2024'!$C$8:$AO$501)</f>
        <v>0</v>
      </c>
      <c r="R338" s="233"/>
      <c r="S338" s="303">
        <f t="shared" si="80"/>
        <v>25491.599999999999</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16070.17</v>
      </c>
      <c r="M339" s="243"/>
      <c r="N339" s="266">
        <f t="shared" si="79"/>
        <v>16070.17</v>
      </c>
      <c r="O339" s="243"/>
      <c r="P339" s="38"/>
      <c r="Q339" s="266" cm="1">
        <f t="array" ref="Q339">+SUMPRODUCT(('Réel 2024'!$A$8:$A$501=$A339)*('Réel 2024'!$C$3:$AO$3=Q$2),'Réel 2024'!$C$8:$AO$501)</f>
        <v>0</v>
      </c>
      <c r="R339" s="243"/>
      <c r="S339" s="266">
        <f t="shared" si="80"/>
        <v>16070.17</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231.85</v>
      </c>
      <c r="M340" s="243"/>
      <c r="N340" s="266">
        <f t="shared" si="79"/>
        <v>231.85</v>
      </c>
      <c r="O340" s="243"/>
      <c r="P340" s="38"/>
      <c r="Q340" s="266" cm="1">
        <f t="array" ref="Q340">+SUMPRODUCT(('Réel 2024'!$A$8:$A$501=$A340)*('Réel 2024'!$C$3:$AO$3=Q$2),'Réel 2024'!$C$8:$AO$501)</f>
        <v>0</v>
      </c>
      <c r="R340" s="243"/>
      <c r="S340" s="266">
        <f t="shared" si="80"/>
        <v>231.85</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16.424651545958781</v>
      </c>
      <c r="L342" s="294">
        <f>+SUM(L330:L341)</f>
        <v>162689.13000000003</v>
      </c>
      <c r="M342" s="296"/>
      <c r="N342" s="294">
        <f t="shared" si="79"/>
        <v>162689.13000000003</v>
      </c>
      <c r="O342" s="295" t="s">
        <v>115</v>
      </c>
      <c r="P342" s="293" t="e">
        <f>Q342/Q$318</f>
        <v>#DIV/0!</v>
      </c>
      <c r="Q342" s="294">
        <f>+SUM(Q330:Q341)</f>
        <v>0</v>
      </c>
      <c r="R342" s="297"/>
      <c r="S342" s="294">
        <f t="shared" si="80"/>
        <v>162689.13000000003</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1675.25</v>
      </c>
      <c r="M343" s="243"/>
      <c r="N343" s="266">
        <f t="shared" si="79"/>
        <v>1675.25</v>
      </c>
      <c r="O343" s="243"/>
      <c r="P343" s="38"/>
      <c r="Q343" s="266" cm="1">
        <f t="array" ref="Q343">+SUMPRODUCT(('Réel 2024'!$A$8:$A$501=$A343)*('Réel 2024'!$C$3:$AO$3=Q$2),'Réel 2024'!$C$8:$AO$501)</f>
        <v>0</v>
      </c>
      <c r="R343" s="243"/>
      <c r="S343" s="266">
        <f t="shared" si="80"/>
        <v>1675.25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9579.7900000000009</v>
      </c>
      <c r="M344" s="243"/>
      <c r="N344" s="266">
        <f t="shared" si="79"/>
        <v>9579.7900000000009</v>
      </c>
      <c r="O344" s="243"/>
      <c r="P344" s="38"/>
      <c r="Q344" s="266" cm="1">
        <f t="array" ref="Q344">+SUMPRODUCT(('Réel 2024'!$A$8:$A$501=$A344)*('Réel 2024'!$C$3:$AO$3=Q$2),'Réel 2024'!$C$8:$AO$501)</f>
        <v>0</v>
      </c>
      <c r="R344" s="243"/>
      <c r="S344" s="266">
        <f t="shared" si="80"/>
        <v>9579.7900000000009</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-2105.0200000000004</v>
      </c>
      <c r="M345" s="238"/>
      <c r="N345" s="286">
        <f t="shared" si="79"/>
        <v>-2105.0200000000004</v>
      </c>
      <c r="O345" s="238"/>
      <c r="P345" s="304"/>
      <c r="Q345" s="266" cm="1">
        <f t="array" ref="Q345">+SUMPRODUCT(('Réel 2024'!$A$8:$A$501=$A345)*('Réel 2024'!$C$3:$AO$3=Q$2),'Réel 2024'!$C$8:$AO$501)</f>
        <v>0</v>
      </c>
      <c r="R345" s="238"/>
      <c r="S345" s="286">
        <f t="shared" si="80"/>
        <v>-2105.0200000000004</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10263.719999999999</v>
      </c>
      <c r="M346" s="243"/>
      <c r="N346" s="266">
        <f t="shared" si="79"/>
        <v>10263.719999999999</v>
      </c>
      <c r="O346" s="243"/>
      <c r="P346" s="38"/>
      <c r="Q346" s="303" cm="1">
        <f t="array" ref="Q346">+SUMPRODUCT(('Réel 2024'!$A$8:$A$501=$A346)*('Réel 2024'!$C$3:$AO$3=Q$2),'Réel 2024'!$C$8:$AO$501)</f>
        <v>0</v>
      </c>
      <c r="R346" s="243"/>
      <c r="S346" s="266">
        <f t="shared" si="80"/>
        <v>10263.719999999999</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6583.28</v>
      </c>
      <c r="M347" s="243"/>
      <c r="N347" s="266">
        <f t="shared" si="79"/>
        <v>6583.28</v>
      </c>
      <c r="O347" s="243"/>
      <c r="P347" s="38"/>
      <c r="Q347" s="266" cm="1">
        <f t="array" ref="Q347">+SUMPRODUCT(('Réel 2024'!$A$8:$A$501=$A347)*('Réel 2024'!$C$3:$AO$3=Q$2),'Réel 2024'!$C$8:$AO$501)</f>
        <v>0</v>
      </c>
      <c r="R347" s="243"/>
      <c r="S347" s="266">
        <f t="shared" si="80"/>
        <v>6583.28</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30636.68</v>
      </c>
      <c r="M348" s="238"/>
      <c r="N348" s="286">
        <f t="shared" si="79"/>
        <v>30636.68</v>
      </c>
      <c r="O348" s="238"/>
      <c r="P348" s="304"/>
      <c r="Q348" s="266" cm="1">
        <f t="array" ref="Q348">+SUMPRODUCT(('Réel 2024'!$A$8:$A$501=$A348)*('Réel 2024'!$C$3:$AO$3=Q$2),'Réel 2024'!$C$8:$AO$501)</f>
        <v>0</v>
      </c>
      <c r="R348" s="238"/>
      <c r="S348" s="286">
        <f t="shared" si="80"/>
        <v>30636.68</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3703.68</v>
      </c>
      <c r="M352" s="243"/>
      <c r="N352" s="266">
        <f t="shared" si="79"/>
        <v>3703.68</v>
      </c>
      <c r="O352" s="243"/>
      <c r="P352" s="38"/>
      <c r="Q352" s="266" cm="1">
        <f t="array" ref="Q352">+SUMPRODUCT(('Réel 2024'!$A$8:$A$501=$A352)*('Réel 2024'!$C$3:$AO$3=Q$2),'Réel 2024'!$C$8:$AO$501)</f>
        <v>0</v>
      </c>
      <c r="R352" s="243"/>
      <c r="S352" s="266">
        <f t="shared" si="80"/>
        <v>3703.68</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2059.06</v>
      </c>
      <c r="M353" s="243"/>
      <c r="N353" s="266">
        <f t="shared" si="79"/>
        <v>2059.06</v>
      </c>
      <c r="O353" s="243"/>
      <c r="P353" s="38"/>
      <c r="Q353" s="266" cm="1">
        <f t="array" ref="Q353">+SUMPRODUCT(('Réel 2024'!$A$8:$A$501=$A353)*('Réel 2024'!$C$3:$AO$3=Q$2),'Réel 2024'!$C$8:$AO$501)</f>
        <v>0</v>
      </c>
      <c r="R353" s="243"/>
      <c r="S353" s="266">
        <f t="shared" si="80"/>
        <v>2059.06</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1501.12</v>
      </c>
      <c r="M354" s="243"/>
      <c r="N354" s="266">
        <f t="shared" si="79"/>
        <v>1501.12</v>
      </c>
      <c r="O354" s="243"/>
      <c r="P354" s="38"/>
      <c r="Q354" s="266" cm="1">
        <f t="array" ref="Q354">+SUMPRODUCT(('Réel 2024'!$A$8:$A$501=$A354)*('Réel 2024'!$C$3:$AO$3=Q$2),'Réel 2024'!$C$8:$AO$501)</f>
        <v>0</v>
      </c>
      <c r="R354" s="243"/>
      <c r="S354" s="266">
        <f t="shared" si="80"/>
        <v>1501.12</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9285.07</v>
      </c>
      <c r="M355" s="243"/>
      <c r="N355" s="266">
        <f t="shared" si="79"/>
        <v>9285.07</v>
      </c>
      <c r="O355" s="243"/>
      <c r="P355" s="38"/>
      <c r="Q355" s="266" cm="1">
        <f t="array" ref="Q355">+SUMPRODUCT(('Réel 2024'!$A$8:$A$501=$A355)*('Réel 2024'!$C$3:$AO$3=Q$2),'Réel 2024'!$C$8:$AO$501)</f>
        <v>0</v>
      </c>
      <c r="R355" s="243"/>
      <c r="S355" s="266">
        <f t="shared" si="80"/>
        <v>9285.07</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1310.4000000000001</v>
      </c>
      <c r="M356" s="243"/>
      <c r="N356" s="266">
        <f t="shared" si="79"/>
        <v>1310.4000000000001</v>
      </c>
      <c r="O356" s="243"/>
      <c r="P356" s="38"/>
      <c r="Q356" s="266" cm="1">
        <f t="array" ref="Q356">+SUMPRODUCT(('Réel 2024'!$A$8:$A$501=$A356)*('Réel 2024'!$C$3:$AO$3=Q$2),'Réel 2024'!$C$8:$AO$501)</f>
        <v>0</v>
      </c>
      <c r="R356" s="243"/>
      <c r="S356" s="266">
        <f t="shared" si="80"/>
        <v>1310.4000000000001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679.04</v>
      </c>
      <c r="M357" s="243"/>
      <c r="N357" s="266">
        <f t="shared" si="79"/>
        <v>679.04</v>
      </c>
      <c r="O357" s="243"/>
      <c r="P357" s="38"/>
      <c r="Q357" s="266" cm="1">
        <f t="array" ref="Q357">+SUMPRODUCT(('Réel 2024'!$A$8:$A$501=$A357)*('Réel 2024'!$C$3:$AO$3=Q$2),'Réel 2024'!$C$8:$AO$501)</f>
        <v>0</v>
      </c>
      <c r="R357" s="243"/>
      <c r="S357" s="266">
        <f t="shared" si="80"/>
        <v>679.04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0.23566556713330528</v>
      </c>
      <c r="L361" s="294">
        <f>+SUM(L343:L360)</f>
        <v>75172.069999999992</v>
      </c>
      <c r="M361" s="296"/>
      <c r="N361" s="294">
        <f>+SUM(N343:N360)</f>
        <v>75172.069999999992</v>
      </c>
      <c r="O361" s="295" t="s">
        <v>115</v>
      </c>
      <c r="P361" s="293">
        <f>IF(Q326=0,0,Q361/Q$326)</f>
        <v>0</v>
      </c>
      <c r="Q361" s="294">
        <f>+SUM(Q343:Q360)</f>
        <v>0</v>
      </c>
      <c r="R361" s="297"/>
      <c r="S361" s="294">
        <f t="shared" si="80"/>
        <v>75172.069999999992</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24.01381903206201</v>
      </c>
      <c r="L363" s="294">
        <f>L342+L361</f>
        <v>237861.2</v>
      </c>
      <c r="M363" s="296"/>
      <c r="N363" s="294">
        <f>L363-F363</f>
        <v>237861.2</v>
      </c>
      <c r="O363" s="295" t="s">
        <v>115</v>
      </c>
      <c r="P363" s="293" t="e">
        <f>Q363/Q$326</f>
        <v>#DIV/0!</v>
      </c>
      <c r="Q363" s="294">
        <f>Q342+Q361</f>
        <v>0</v>
      </c>
      <c r="R363" s="297"/>
      <c r="S363" s="294">
        <f>L363-Q363</f>
        <v>237861.2</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88190.379999999946</v>
      </c>
      <c r="M365" s="960"/>
      <c r="N365" s="958">
        <f>L365-F365</f>
        <v>88190.379999999946</v>
      </c>
      <c r="O365" s="959"/>
      <c r="P365" s="957"/>
      <c r="Q365" s="958">
        <f>Q326-Q363</f>
        <v>0</v>
      </c>
      <c r="R365" s="961"/>
      <c r="S365" s="958">
        <f>L365-Q365</f>
        <v>88190.379999999946</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Juin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358388.27</v>
      </c>
      <c r="K371" s="327">
        <f t="shared" ref="K371:K380" si="83">IF(J371&lt;=0,0,L371/J371)</f>
        <v>0.36366600391246062</v>
      </c>
      <c r="L371" s="266">
        <f>-SUMIFS(BV_Data_An_Cour!$AN:$AN,BV_Data_An_Cour!$AP:$AP,$B371,BV_Data_An_Cour!$AQ:$AQ,$C371,BV_Data_An_Cour!$AR:$AR,$L$2)</f>
        <v>130333.63</v>
      </c>
      <c r="M371" s="282" t="e">
        <f t="shared" ref="M371:M377" si="84">(+J371-D371)/D371</f>
        <v>#DIV/0!</v>
      </c>
      <c r="N371" s="266">
        <f t="shared" ref="N371:N380" si="85">L371-F371</f>
        <v>130333.63</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130333.63</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18.350000000000001</v>
      </c>
      <c r="K372" s="327">
        <f t="shared" si="83"/>
        <v>0.35476839237057228</v>
      </c>
      <c r="L372" s="266">
        <f>-SUMIFS(BV_Data_An_Cour!$AN:$AN,BV_Data_An_Cour!$AP:$AP,$B372,BV_Data_An_Cour!$AQ:$AQ,$C372,BV_Data_An_Cour!$AR:$AR,$L$2)</f>
        <v>6.5100000000000016</v>
      </c>
      <c r="M372" s="282" t="e">
        <f t="shared" si="84"/>
        <v>#DIV/0!</v>
      </c>
      <c r="N372" s="266">
        <f t="shared" si="85"/>
        <v>6.5100000000000016</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6.5100000000000016</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332790.12</v>
      </c>
      <c r="K373" s="327">
        <f t="shared" si="83"/>
        <v>0.27704878978979308</v>
      </c>
      <c r="L373" s="266">
        <f>-SUMIFS(BV_Data_An_Cour!$AN:$AN,BV_Data_An_Cour!$AP:$AP,$B373,BV_Data_An_Cour!$AQ:$AQ,$C373,BV_Data_An_Cour!$AR:$AR,$L$2)</f>
        <v>92199.1</v>
      </c>
      <c r="M373" s="282" t="e">
        <f t="shared" si="84"/>
        <v>#DIV/0!</v>
      </c>
      <c r="N373" s="266">
        <f t="shared" si="85"/>
        <v>92199.1</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92199.1</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403023.06</v>
      </c>
      <c r="K374" s="327">
        <f t="shared" si="83"/>
        <v>0.28193682019088429</v>
      </c>
      <c r="L374" s="266">
        <f>-SUMIFS(BV_Data_An_Cour!$AN:$AN,BV_Data_An_Cour!$AP:$AP,$B374,BV_Data_An_Cour!$AQ:$AQ,$C374,BV_Data_An_Cour!$AR:$AR,$L$2)</f>
        <v>113627.03999999998</v>
      </c>
      <c r="M374" s="282" t="e">
        <f t="shared" si="84"/>
        <v>#DIV/0!</v>
      </c>
      <c r="N374" s="266">
        <f t="shared" si="85"/>
        <v>113627.03999999998</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113627.03999999998</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185170.21</v>
      </c>
      <c r="K375" s="327">
        <f t="shared" si="83"/>
        <v>0.20867292854503963</v>
      </c>
      <c r="L375" s="266">
        <f>-SUMIFS(BV_Data_An_Cour!$AN:$AN,BV_Data_An_Cour!$AP:$AP,$B375,BV_Data_An_Cour!$AQ:$AQ,$C375,BV_Data_An_Cour!$AR:$AR,$L$2)</f>
        <v>38640.00999999998</v>
      </c>
      <c r="M375" s="282" t="e">
        <f t="shared" si="84"/>
        <v>#DIV/0!</v>
      </c>
      <c r="N375" s="266">
        <f t="shared" si="85"/>
        <v>38640.00999999998</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38640.00999999998</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864560.08</v>
      </c>
      <c r="K376" s="327">
        <f t="shared" si="83"/>
        <v>0.12259444132558146</v>
      </c>
      <c r="L376" s="266">
        <f>-SUMIFS(BV_Data_An_Cour!$AN:$AN,BV_Data_An_Cour!$AP:$AP,$B376,BV_Data_An_Cour!$AQ:$AQ,$C376,BV_Data_An_Cour!$AR:$AR,$L$2)</f>
        <v>105990.26000000001</v>
      </c>
      <c r="M376" s="282" t="e">
        <f t="shared" si="84"/>
        <v>#DIV/0!</v>
      </c>
      <c r="N376" s="266">
        <f t="shared" si="85"/>
        <v>105990.26000000001</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105990.26000000001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44533.74</v>
      </c>
      <c r="M378" s="282"/>
      <c r="N378" s="266">
        <f t="shared" si="85"/>
        <v>44533.74</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44533.74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20889.11</v>
      </c>
      <c r="M379" s="282"/>
      <c r="N379" s="266">
        <f t="shared" si="85"/>
        <v>20889.11</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20889.11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2143950.09</v>
      </c>
      <c r="K380" s="370">
        <f t="shared" si="83"/>
        <v>0.25477244202079347</v>
      </c>
      <c r="L380" s="356">
        <f>SUM(L371:L379)</f>
        <v>546219.39999999991</v>
      </c>
      <c r="M380" s="371" t="e">
        <f>(+J380-D380)/D380</f>
        <v>#DIV/0!</v>
      </c>
      <c r="N380" s="356">
        <f t="shared" si="85"/>
        <v>546219.39999999991</v>
      </c>
      <c r="O380" s="355">
        <f t="shared" ref="O380" si="91">SUM(O371:O379)</f>
        <v>0</v>
      </c>
      <c r="P380" s="370">
        <f t="shared" si="86"/>
        <v>0</v>
      </c>
      <c r="Q380" s="356">
        <f>SUM(Q371:Q379)</f>
        <v>0</v>
      </c>
      <c r="R380" s="371">
        <f t="shared" si="87"/>
        <v>0</v>
      </c>
      <c r="S380" s="356">
        <f t="shared" si="88"/>
        <v>546219.39999999991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65059.42</v>
      </c>
      <c r="K383" s="327">
        <f t="shared" ref="K383:K385" si="93">IF(J383&lt;=0,0,L383/J383)</f>
        <v>0.21228563058201258</v>
      </c>
      <c r="L383" s="303">
        <f>-SUMIFS(BV_Data_An_Cour!$AN:$AN,BV_Data_An_Cour!$AP:$AP,$B383,BV_Data_An_Cour!$AQ:$AQ,$C383,BV_Data_An_Cour!$AR:$AR,$L$2)</f>
        <v>13811.18</v>
      </c>
      <c r="M383" s="282" t="e">
        <f>(+J383-D383)/D383</f>
        <v>#DIV/0!</v>
      </c>
      <c r="N383" s="266">
        <f>L383-F383</f>
        <v>13811.18</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13811.18</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27851.759999999998</v>
      </c>
      <c r="K384" s="327">
        <f t="shared" si="93"/>
        <v>0.12831756413239231</v>
      </c>
      <c r="L384" s="286">
        <f>-SUMIFS(BV_Data_An_Cour!$AN:$AN,BV_Data_An_Cour!$AP:$AP,$B384,BV_Data_An_Cour!$AQ:$AQ,$C384,BV_Data_An_Cour!$AR:$AR,$L$2)</f>
        <v>3573.869999999999</v>
      </c>
      <c r="M384" s="282" t="e">
        <f>(+J384-D384)/D384</f>
        <v>#DIV/0!</v>
      </c>
      <c r="N384" s="266">
        <f>L384-F384</f>
        <v>3573.869999999999</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3573.869999999999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2236861.2699999996</v>
      </c>
      <c r="K385" s="370">
        <f t="shared" si="93"/>
        <v>0.25196218360023737</v>
      </c>
      <c r="L385" s="356">
        <f>L380+L383+L384</f>
        <v>563604.44999999995</v>
      </c>
      <c r="M385" s="371" t="e">
        <f>(+J385-D385)/D385</f>
        <v>#DIV/0!</v>
      </c>
      <c r="N385" s="356">
        <f>L385-F385</f>
        <v>563604.44999999995</v>
      </c>
      <c r="O385" s="357">
        <f t="shared" ref="O385" si="99">O380+O383+O384</f>
        <v>0</v>
      </c>
      <c r="P385" s="370">
        <f t="shared" si="94"/>
        <v>0</v>
      </c>
      <c r="Q385" s="356">
        <f>Q380+Q383+Q384</f>
        <v>0</v>
      </c>
      <c r="R385" s="371">
        <f t="shared" si="95"/>
        <v>0</v>
      </c>
      <c r="S385" s="356">
        <f t="shared" si="96"/>
        <v>563604.44999999995</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2236861.2699999996</v>
      </c>
      <c r="K390" s="373">
        <f>IF(J390&lt;=0,0,L390/J390)</f>
        <v>0.25196218360023737</v>
      </c>
      <c r="L390" s="271">
        <f>L385+L388</f>
        <v>563604.44999999995</v>
      </c>
      <c r="M390" s="272" t="e">
        <f>(+J390-D390)/D390</f>
        <v>#DIV/0!</v>
      </c>
      <c r="N390" s="271">
        <f>L390-F390</f>
        <v>563604.44999999995</v>
      </c>
      <c r="O390" s="272">
        <f t="shared" ref="O390" si="102">O385+O388</f>
        <v>0</v>
      </c>
      <c r="P390" s="373">
        <f>IF(O390&lt;=0,0,Q390/O390)</f>
        <v>0</v>
      </c>
      <c r="Q390" s="271">
        <f>Q385+Q388</f>
        <v>0</v>
      </c>
      <c r="R390" s="363">
        <f>IF(O390=0,0,(J390-O390)/O390)</f>
        <v>0</v>
      </c>
      <c r="S390" s="271">
        <f>L390-Q390</f>
        <v>563604.44999999995</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21422.52</v>
      </c>
      <c r="M394" s="243"/>
      <c r="N394" s="246">
        <f t="shared" ref="N394:N424" si="103">L394-F394</f>
        <v>21422.52</v>
      </c>
      <c r="O394" s="243"/>
      <c r="P394" s="38"/>
      <c r="Q394" s="266">
        <f>SUMIFS(BV_Data_An_Prec!$AN:$AN,BV_Data_An_Prec!$AP:$AP,$B394,BV_Data_An_Prec!$AQ:$AQ,$C394,BV_Data_An_Prec!$AR:$AR,$L$2)</f>
        <v>0</v>
      </c>
      <c r="R394" s="243"/>
      <c r="S394" s="266">
        <f t="shared" ref="S394:S424" si="104">L394-Q394</f>
        <v>21422.52</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13873.09</v>
      </c>
      <c r="M395" s="243"/>
      <c r="N395" s="246">
        <f t="shared" si="103"/>
        <v>13873.09</v>
      </c>
      <c r="O395" s="243"/>
      <c r="P395" s="38"/>
      <c r="Q395" s="266">
        <f>SUMIFS(BV_Data_An_Prec!$AN:$AN,BV_Data_An_Prec!$AP:$AP,$B395,BV_Data_An_Prec!$AQ:$AQ,$C395,BV_Data_An_Prec!$AR:$AR,$L$2)</f>
        <v>0</v>
      </c>
      <c r="R395" s="243"/>
      <c r="S395" s="266">
        <f t="shared" si="104"/>
        <v>13873.09</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95730.559999999998</v>
      </c>
      <c r="M396" s="233"/>
      <c r="N396" s="262">
        <f t="shared" si="103"/>
        <v>95730.559999999998</v>
      </c>
      <c r="O396" s="233"/>
      <c r="P396" s="301"/>
      <c r="Q396" s="303">
        <f>SUMIFS(BV_Data_An_Prec!$AN:$AN,BV_Data_An_Prec!$AP:$AP,$B396,BV_Data_An_Prec!$AQ:$AQ,$C396,BV_Data_An_Prec!$AR:$AR,$L$2)</f>
        <v>0</v>
      </c>
      <c r="R396" s="233"/>
      <c r="S396" s="303">
        <f t="shared" si="104"/>
        <v>95730.559999999998</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13906.2</v>
      </c>
      <c r="M401" s="243"/>
      <c r="N401" s="246">
        <f t="shared" si="103"/>
        <v>13906.2</v>
      </c>
      <c r="O401" s="243"/>
      <c r="P401" s="38"/>
      <c r="Q401" s="266">
        <f>SUMIFS(BV_Data_An_Prec!$AN:$AN,BV_Data_An_Prec!$AP:$AP,$B401,BV_Data_An_Prec!$AQ:$AQ,$C401,BV_Data_An_Prec!$AR:$AR,$L$2)</f>
        <v>0</v>
      </c>
      <c r="R401" s="243"/>
      <c r="S401" s="266">
        <f t="shared" si="104"/>
        <v>13906.2</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19035.150000000001</v>
      </c>
      <c r="M402" s="233"/>
      <c r="N402" s="262">
        <f t="shared" si="103"/>
        <v>19035.150000000001</v>
      </c>
      <c r="O402" s="233"/>
      <c r="P402" s="301"/>
      <c r="Q402" s="303">
        <f>SUMIFS(BV_Data_An_Prec!$AN:$AN,BV_Data_An_Prec!$AP:$AP,$B402,BV_Data_An_Prec!$AQ:$AQ,$C402,BV_Data_An_Prec!$AR:$AR,$L$2)</f>
        <v>0</v>
      </c>
      <c r="R402" s="233"/>
      <c r="S402" s="303">
        <f t="shared" si="104"/>
        <v>19035.150000000001</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9496.68</v>
      </c>
      <c r="M403" s="243"/>
      <c r="N403" s="246">
        <f t="shared" si="103"/>
        <v>9496.68</v>
      </c>
      <c r="O403" s="243"/>
      <c r="P403" s="38"/>
      <c r="Q403" s="266">
        <f>SUMIFS(BV_Data_An_Prec!$AN:$AN,BV_Data_An_Prec!$AP:$AP,$B403,BV_Data_An_Prec!$AQ:$AQ,$C403,BV_Data_An_Prec!$AR:$AR,$L$2)</f>
        <v>0</v>
      </c>
      <c r="R403" s="243"/>
      <c r="S403" s="266">
        <f t="shared" si="104"/>
        <v>9496.68</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1322.54</v>
      </c>
      <c r="M404" s="243"/>
      <c r="N404" s="246">
        <f t="shared" si="103"/>
        <v>1322.54</v>
      </c>
      <c r="O404" s="243"/>
      <c r="P404" s="38"/>
      <c r="Q404" s="266">
        <f>SUMIFS(BV_Data_An_Prec!$AN:$AN,BV_Data_An_Prec!$AP:$AP,$B404,BV_Data_An_Prec!$AQ:$AQ,$C404,BV_Data_An_Prec!$AR:$AR,$L$2)</f>
        <v>0</v>
      </c>
      <c r="R404" s="243"/>
      <c r="S404" s="266">
        <f t="shared" si="104"/>
        <v>1322.54</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0.31012306591972438</v>
      </c>
      <c r="L406" s="294">
        <f>+SUM(L394:L405)</f>
        <v>174786.74</v>
      </c>
      <c r="M406" s="296"/>
      <c r="N406" s="294">
        <f t="shared" si="103"/>
        <v>174786.74</v>
      </c>
      <c r="O406" s="295" t="s">
        <v>115</v>
      </c>
      <c r="P406" s="293" t="e">
        <f>Q406/Q$390</f>
        <v>#DIV/0!</v>
      </c>
      <c r="Q406" s="294">
        <f>+SUM(Q394:Q405)</f>
        <v>0</v>
      </c>
      <c r="R406" s="297"/>
      <c r="S406" s="294">
        <f t="shared" si="104"/>
        <v>174786.74</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7371.52</v>
      </c>
      <c r="M407" s="243"/>
      <c r="N407" s="266">
        <f t="shared" si="103"/>
        <v>7371.52</v>
      </c>
      <c r="O407" s="243"/>
      <c r="P407" s="38"/>
      <c r="Q407" s="266">
        <f>SUMIFS(BV_Data_An_Prec!$AN:$AN,BV_Data_An_Prec!$AP:$AP,$B407,BV_Data_An_Prec!$AQ:$AQ,$C407,BV_Data_An_Prec!$AR:$AR,$L$2)</f>
        <v>0</v>
      </c>
      <c r="R407" s="243"/>
      <c r="S407" s="266">
        <f t="shared" si="104"/>
        <v>7371.52</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912.82</v>
      </c>
      <c r="M408" s="243"/>
      <c r="N408" s="266">
        <f t="shared" si="103"/>
        <v>912.82</v>
      </c>
      <c r="O408" s="243"/>
      <c r="P408" s="38"/>
      <c r="Q408" s="266">
        <f>SUMIFS(BV_Data_An_Prec!$AN:$AN,BV_Data_An_Prec!$AP:$AP,$B408,BV_Data_An_Prec!$AQ:$AQ,$C408,BV_Data_An_Prec!$AR:$AR,$L$2)</f>
        <v>0</v>
      </c>
      <c r="R408" s="243"/>
      <c r="S408" s="266">
        <f t="shared" si="104"/>
        <v>912.82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17042.830000000002</v>
      </c>
      <c r="M409" s="238"/>
      <c r="N409" s="286">
        <f t="shared" si="103"/>
        <v>17042.830000000002</v>
      </c>
      <c r="O409" s="238"/>
      <c r="P409" s="304"/>
      <c r="Q409" s="286">
        <f>SUMIFS(BV_Data_An_Prec!$AN:$AN,BV_Data_An_Prec!$AP:$AP,$B409,BV_Data_An_Prec!$AQ:$AQ,$C409,BV_Data_An_Prec!$AR:$AR,$L$2)</f>
        <v>0</v>
      </c>
      <c r="R409" s="238"/>
      <c r="S409" s="286">
        <f t="shared" si="104"/>
        <v>17042.830000000002</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9972.3700000000008</v>
      </c>
      <c r="M410" s="243"/>
      <c r="N410" s="266">
        <f t="shared" si="103"/>
        <v>9972.3700000000008</v>
      </c>
      <c r="O410" s="243"/>
      <c r="P410" s="38"/>
      <c r="Q410" s="266">
        <f>SUMIFS(BV_Data_An_Prec!$AN:$AN,BV_Data_An_Prec!$AP:$AP,$B410,BV_Data_An_Prec!$AQ:$AQ,$C410,BV_Data_An_Prec!$AR:$AR,$L$2)</f>
        <v>0</v>
      </c>
      <c r="R410" s="243"/>
      <c r="S410" s="266">
        <f t="shared" si="104"/>
        <v>9972.3700000000008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7661.05</v>
      </c>
      <c r="M411" s="243"/>
      <c r="N411" s="266">
        <f t="shared" si="103"/>
        <v>7661.05</v>
      </c>
      <c r="O411" s="243"/>
      <c r="P411" s="38"/>
      <c r="Q411" s="266">
        <f>SUMIFS(BV_Data_An_Prec!$AN:$AN,BV_Data_An_Prec!$AP:$AP,$B411,BV_Data_An_Prec!$AQ:$AQ,$C411,BV_Data_An_Prec!$AR:$AR,$L$2)</f>
        <v>0</v>
      </c>
      <c r="R411" s="243"/>
      <c r="S411" s="266">
        <f t="shared" si="104"/>
        <v>7661.05</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14424.11</v>
      </c>
      <c r="M412" s="238"/>
      <c r="N412" s="286">
        <f t="shared" si="103"/>
        <v>14424.11</v>
      </c>
      <c r="O412" s="238"/>
      <c r="P412" s="304"/>
      <c r="Q412" s="286">
        <f>SUMIFS(BV_Data_An_Prec!$AN:$AN,BV_Data_An_Prec!$AP:$AP,$B412,BV_Data_An_Prec!$AQ:$AQ,$C412,BV_Data_An_Prec!$AR:$AR,$L$2)</f>
        <v>0</v>
      </c>
      <c r="R412" s="238"/>
      <c r="S412" s="286">
        <f t="shared" si="104"/>
        <v>14424.11</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836.96</v>
      </c>
      <c r="M414" s="243"/>
      <c r="N414" s="266">
        <f t="shared" si="103"/>
        <v>836.96</v>
      </c>
      <c r="O414" s="243"/>
      <c r="P414" s="38"/>
      <c r="Q414" s="266">
        <f>SUMIFS(BV_Data_An_Prec!$AN:$AN,BV_Data_An_Prec!$AP:$AP,$B414,BV_Data_An_Prec!$AQ:$AQ,$C414,BV_Data_An_Prec!$AR:$AR,$L$2)</f>
        <v>0</v>
      </c>
      <c r="R414" s="243"/>
      <c r="S414" s="266">
        <f t="shared" si="104"/>
        <v>836.96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2660.27</v>
      </c>
      <c r="M416" s="243"/>
      <c r="N416" s="266">
        <f t="shared" si="103"/>
        <v>2660.27</v>
      </c>
      <c r="O416" s="243"/>
      <c r="P416" s="38"/>
      <c r="Q416" s="266">
        <f>SUMIFS(BV_Data_An_Prec!$AN:$AN,BV_Data_An_Prec!$AP:$AP,$B416,BV_Data_An_Prec!$AQ:$AQ,$C416,BV_Data_An_Prec!$AR:$AR,$L$2)</f>
        <v>0</v>
      </c>
      <c r="R416" s="243"/>
      <c r="S416" s="266">
        <f t="shared" si="104"/>
        <v>2660.27</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2128.9899999999998</v>
      </c>
      <c r="M417" s="243"/>
      <c r="N417" s="266">
        <f t="shared" si="103"/>
        <v>2128.9899999999998</v>
      </c>
      <c r="O417" s="243"/>
      <c r="P417" s="38"/>
      <c r="Q417" s="266">
        <f>SUMIFS(BV_Data_An_Prec!$AN:$AN,BV_Data_An_Prec!$AP:$AP,$B417,BV_Data_An_Prec!$AQ:$AQ,$C417,BV_Data_An_Prec!$AR:$AR,$L$2)</f>
        <v>0</v>
      </c>
      <c r="R417" s="243"/>
      <c r="S417" s="266">
        <f t="shared" si="104"/>
        <v>2128.9899999999998</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3311.11</v>
      </c>
      <c r="M418" s="243"/>
      <c r="N418" s="266">
        <f t="shared" si="103"/>
        <v>3311.11</v>
      </c>
      <c r="O418" s="243"/>
      <c r="P418" s="38"/>
      <c r="Q418" s="266">
        <f>SUMIFS(BV_Data_An_Prec!$AN:$AN,BV_Data_An_Prec!$AP:$AP,$B418,BV_Data_An_Prec!$AQ:$AQ,$C418,BV_Data_An_Prec!$AR:$AR,$L$2)</f>
        <v>0</v>
      </c>
      <c r="R418" s="243"/>
      <c r="S418" s="266">
        <f t="shared" si="104"/>
        <v>3311.11</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7829.7199999999993</v>
      </c>
      <c r="M419" s="243"/>
      <c r="N419" s="266">
        <f t="shared" si="103"/>
        <v>7829.7199999999993</v>
      </c>
      <c r="O419" s="243"/>
      <c r="P419" s="38"/>
      <c r="Q419" s="266">
        <f>SUMIFS(BV_Data_An_Prec!$AN:$AN,BV_Data_An_Prec!$AP:$AP,$B419,BV_Data_An_Prec!$AQ:$AQ,$C419,BV_Data_An_Prec!$AR:$AR,$L$2)</f>
        <v>0</v>
      </c>
      <c r="R419" s="243"/>
      <c r="S419" s="266">
        <f t="shared" si="104"/>
        <v>7829.7199999999993</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7025</v>
      </c>
      <c r="M420" s="243"/>
      <c r="N420" s="266">
        <f t="shared" si="103"/>
        <v>7025</v>
      </c>
      <c r="O420" s="243"/>
      <c r="P420" s="38"/>
      <c r="Q420" s="266">
        <f>SUMIFS(BV_Data_An_Prec!$AN:$AN,BV_Data_An_Prec!$AP:$AP,$B420,BV_Data_An_Prec!$AQ:$AQ,$C420,BV_Data_An_Prec!$AR:$AR,$L$2)</f>
        <v>0</v>
      </c>
      <c r="R420" s="243"/>
      <c r="S420" s="266">
        <f t="shared" si="104"/>
        <v>7025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679.05</v>
      </c>
      <c r="M421" s="243"/>
      <c r="N421" s="266">
        <f t="shared" si="103"/>
        <v>679.05</v>
      </c>
      <c r="O421" s="243"/>
      <c r="P421" s="38"/>
      <c r="Q421" s="266">
        <f>SUMIFS(BV_Data_An_Prec!$AN:$AN,BV_Data_An_Prec!$AP:$AP,$B421,BV_Data_An_Prec!$AQ:$AQ,$C421,BV_Data_An_Prec!$AR:$AR,Q$2)</f>
        <v>0</v>
      </c>
      <c r="R421" s="243"/>
      <c r="S421" s="266">
        <f t="shared" si="104"/>
        <v>679.05</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0.1452362556754121</v>
      </c>
      <c r="L425" s="294">
        <f>+SUM(L407:L424)</f>
        <v>81855.8</v>
      </c>
      <c r="M425" s="296"/>
      <c r="N425" s="294">
        <f>+SUM(N407:N424)</f>
        <v>81855.8</v>
      </c>
      <c r="O425" s="295" t="s">
        <v>115</v>
      </c>
      <c r="P425" s="293" t="e">
        <f>Q425/Q$390</f>
        <v>#DIV/0!</v>
      </c>
      <c r="Q425" s="294">
        <f>+SUM(Q407:Q424)</f>
        <v>0</v>
      </c>
      <c r="R425" s="297"/>
      <c r="S425" s="294">
        <f>+SUM(S407:S424)</f>
        <v>81855.8</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0.45535932159513642</v>
      </c>
      <c r="L427" s="294">
        <f>L406+L425</f>
        <v>256642.53999999998</v>
      </c>
      <c r="M427" s="296"/>
      <c r="N427" s="294">
        <f>L427-F427</f>
        <v>256642.53999999998</v>
      </c>
      <c r="O427" s="295" t="s">
        <v>115</v>
      </c>
      <c r="P427" s="293" t="e">
        <f>Q427/Q$390</f>
        <v>#DIV/0!</v>
      </c>
      <c r="Q427" s="294">
        <f>Q406+Q425</f>
        <v>0</v>
      </c>
      <c r="R427" s="297"/>
      <c r="S427" s="294">
        <f>L427-Q427</f>
        <v>256642.53999999998</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306961.90999999997</v>
      </c>
      <c r="M429" s="960"/>
      <c r="N429" s="958">
        <f>L429-F429</f>
        <v>306961.90999999997</v>
      </c>
      <c r="O429" s="959"/>
      <c r="P429" s="957"/>
      <c r="Q429" s="958">
        <f>Q390-Q427</f>
        <v>0</v>
      </c>
      <c r="R429" s="961"/>
      <c r="S429" s="958">
        <f>L429-Q429</f>
        <v>306961.90999999997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Juin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524853.14</v>
      </c>
      <c r="L440" s="303">
        <f>-SUMIFS(BV_Data_An_Cour!$AN:$AN,BV_Data_An_Cour!$AP:$AP,$B440,BV_Data_An_Cour!$AQ:$AQ,$C440,BV_Data_An_Cour!$AR:$AR,$L$2)</f>
        <v>394807.56</v>
      </c>
      <c r="M440" s="340">
        <f>IFERROR((K440-E440)/E440,0)</f>
        <v>0</v>
      </c>
      <c r="N440" s="303">
        <f>L440-F440</f>
        <v>394807.56</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394807.56</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0.75222482235697397</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3150</v>
      </c>
      <c r="L443" s="266">
        <f>-SUMIFS(BV_Data_An_Cour!$AN:$AN,BV_Data_An_Cour!$AP:$AP,$B443,BV_Data_An_Cour!$AQ:$AQ,$C443,BV_Data_An_Cour!$AR:$AR,$L$2)</f>
        <v>2075.1800000000003</v>
      </c>
      <c r="M443" s="282">
        <f>IFERROR((K443-E443)/E443,0)</f>
        <v>0</v>
      </c>
      <c r="N443" s="303">
        <f>L443-F443</f>
        <v>2075.1800000000003</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2075.1800000000003</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0.6587873015873017</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528003.14</v>
      </c>
      <c r="L448" s="271">
        <f>L437+L440+L443</f>
        <v>396882.74</v>
      </c>
      <c r="M448" s="272"/>
      <c r="N448" s="271"/>
      <c r="O448" s="272"/>
      <c r="P448" s="269">
        <f>P437+P440+P443</f>
        <v>0</v>
      </c>
      <c r="Q448" s="271">
        <f>Q437+Q440+Q443</f>
        <v>0</v>
      </c>
      <c r="R448" s="272">
        <f>IF(O448=0,0,(J448-O448)/O448)</f>
        <v>0</v>
      </c>
      <c r="S448" s="271">
        <f>L448-Q448</f>
        <v>396882.74</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0.75166738591743976</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396882.74</v>
      </c>
      <c r="M486" s="960"/>
      <c r="N486" s="958"/>
      <c r="O486" s="959"/>
      <c r="P486" s="957"/>
      <c r="Q486" s="958">
        <f>Q448-Q484</f>
        <v>0</v>
      </c>
      <c r="R486" s="961"/>
      <c r="S486" s="958">
        <f>L486-Q486</f>
        <v>396882.74</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29019.98</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Juin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140135795.43000001</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3.9663099516757033E-2</v>
      </c>
      <c r="AE494" s="393"/>
      <c r="AF494" s="391">
        <f>L27+L109+L182+L268+L326+L390+L448</f>
        <v>5558219.9999999953</v>
      </c>
      <c r="AG494" s="392"/>
      <c r="AH494" s="393" t="e">
        <f>AF494-Z494</f>
        <v>#REF!</v>
      </c>
      <c r="AI494" s="394" t="e">
        <f>AH494/Z494</f>
        <v>#REF!</v>
      </c>
      <c r="AJ494" s="754" t="e">
        <f>+AL494/AL493</f>
        <v>#DIV/0!</v>
      </c>
      <c r="AK494" s="393"/>
      <c r="AL494" s="391">
        <f>Q27+Q109+Q182+Q268+Q326+Q390+Q448</f>
        <v>0</v>
      </c>
      <c r="AM494" s="395"/>
      <c r="AN494" s="393">
        <f>AF494-AL494</f>
        <v>5558219.9999999953</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876.19357664233576</v>
      </c>
      <c r="AF496" s="399">
        <f t="shared" ref="AF496:AF505" si="110">+SUMIF($C:$C,$V496,L:L)</f>
        <v>360115.56</v>
      </c>
      <c r="AG496" s="400" t="e">
        <f t="shared" ref="AG496:AG505" si="111">AE496-Y496</f>
        <v>#DIV/0!</v>
      </c>
      <c r="AH496" s="401">
        <f t="shared" ref="AH496:AH505" si="112">AF496-Z496</f>
        <v>360115.56</v>
      </c>
      <c r="AI496" s="402">
        <f t="shared" ref="AI496:AI505" si="113">IF(Z496=0,0,AH496/Z496)</f>
        <v>0</v>
      </c>
      <c r="AJ496" s="407"/>
      <c r="AK496" s="401">
        <f>IF(AL496=0,0,AL496/(O$13+O$97))</f>
        <v>0</v>
      </c>
      <c r="AL496" s="399">
        <f>SUMIFS(BV_Data_An_Prec!$AN:$AN,BV_Data_An_Prec!$AQ:$AQ,$V496)</f>
        <v>0</v>
      </c>
      <c r="AM496" s="403">
        <f>AE496-AK496</f>
        <v>876.19357664233576</v>
      </c>
      <c r="AN496" s="401">
        <f>AF496-AL496</f>
        <v>360115.56</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214.62031630170316</v>
      </c>
      <c r="AF497" s="383">
        <f t="shared" si="110"/>
        <v>88208.95</v>
      </c>
      <c r="AG497" s="384" t="e">
        <f t="shared" si="111"/>
        <v>#DIV/0!</v>
      </c>
      <c r="AH497" s="385">
        <f t="shared" si="112"/>
        <v>88208.95</v>
      </c>
      <c r="AI497" s="412">
        <f t="shared" si="113"/>
        <v>0</v>
      </c>
      <c r="AJ497" s="411"/>
      <c r="AK497" s="385">
        <f t="shared" ref="AK497:AK504" si="115">IF(AL497=0,0,AL497/(O$13+O$97))</f>
        <v>0</v>
      </c>
      <c r="AL497" s="383">
        <f>SUMIFS(BV_Data_An_Prec!$AN:$AN,BV_Data_An_Prec!$AQ:$AQ,$V497)</f>
        <v>0</v>
      </c>
      <c r="AM497" s="993">
        <f t="shared" ref="AM497:AM504" si="116">AE497-AK497</f>
        <v>214.62031630170316</v>
      </c>
      <c r="AN497" s="385">
        <f t="shared" ref="AN497:AN504" si="117">AF497-AL497</f>
        <v>88208.95</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70.608223844282236</v>
      </c>
      <c r="AF498" s="399">
        <f t="shared" si="110"/>
        <v>29019.98</v>
      </c>
      <c r="AG498" s="400" t="e">
        <f t="shared" si="111"/>
        <v>#DIV/0!</v>
      </c>
      <c r="AH498" s="401">
        <f t="shared" si="112"/>
        <v>29019.98</v>
      </c>
      <c r="AI498" s="402">
        <f t="shared" si="113"/>
        <v>0</v>
      </c>
      <c r="AJ498" s="407"/>
      <c r="AK498" s="401">
        <f t="shared" si="115"/>
        <v>0</v>
      </c>
      <c r="AL498" s="399">
        <f>SUMIFS(BV_Data_An_Prec!$AN:$AN,BV_Data_An_Prec!$AQ:$AQ,$V498)</f>
        <v>0</v>
      </c>
      <c r="AM498" s="403">
        <f t="shared" si="116"/>
        <v>70.608223844282236</v>
      </c>
      <c r="AN498" s="401">
        <f t="shared" si="117"/>
        <v>29019.98</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6.2917274939172749</v>
      </c>
      <c r="AF499" s="399">
        <f t="shared" si="110"/>
        <v>2585.9</v>
      </c>
      <c r="AG499" s="400" t="e">
        <f t="shared" si="111"/>
        <v>#DIV/0!</v>
      </c>
      <c r="AH499" s="401">
        <f t="shared" si="112"/>
        <v>2585.9</v>
      </c>
      <c r="AI499" s="402">
        <f t="shared" si="113"/>
        <v>0</v>
      </c>
      <c r="AJ499" s="407"/>
      <c r="AK499" s="401">
        <f t="shared" si="115"/>
        <v>0</v>
      </c>
      <c r="AL499" s="399">
        <f>SUMIFS(BV_Data_An_Prec!$AN:$AN,BV_Data_An_Prec!$AQ:$AQ,$V499)</f>
        <v>0</v>
      </c>
      <c r="AM499" s="403">
        <f t="shared" si="116"/>
        <v>6.2917274939172749</v>
      </c>
      <c r="AN499" s="401">
        <f t="shared" si="117"/>
        <v>2585.9</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-384.63321167883214</v>
      </c>
      <c r="AF501" s="399">
        <f t="shared" si="110"/>
        <v>-158084.25</v>
      </c>
      <c r="AG501" s="400" t="e">
        <f t="shared" si="111"/>
        <v>#DIV/0!</v>
      </c>
      <c r="AH501" s="401">
        <f t="shared" si="112"/>
        <v>-158084.25</v>
      </c>
      <c r="AI501" s="402">
        <f t="shared" si="113"/>
        <v>0</v>
      </c>
      <c r="AJ501" s="407"/>
      <c r="AK501" s="401">
        <f t="shared" si="115"/>
        <v>0</v>
      </c>
      <c r="AL501" s="399">
        <f>SUMIFS(BV_Data_An_Prec!$AN:$AN,BV_Data_An_Prec!$AQ:$AQ,$V501)</f>
        <v>0</v>
      </c>
      <c r="AM501" s="403">
        <f t="shared" si="116"/>
        <v>-384.63321167883214</v>
      </c>
      <c r="AN501" s="401">
        <f t="shared" si="117"/>
        <v>-158084.25</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2219.4816058394163</v>
      </c>
      <c r="AF502" s="399">
        <f t="shared" si="110"/>
        <v>912206.94000000006</v>
      </c>
      <c r="AG502" s="704" t="e">
        <f t="shared" si="111"/>
        <v>#DIV/0!</v>
      </c>
      <c r="AH502" s="659">
        <f t="shared" si="112"/>
        <v>912206.94000000006</v>
      </c>
      <c r="AI502" s="402">
        <f t="shared" si="113"/>
        <v>0</v>
      </c>
      <c r="AJ502" s="407"/>
      <c r="AK502" s="401">
        <f t="shared" si="115"/>
        <v>0</v>
      </c>
      <c r="AL502" s="399">
        <f>SUMIFS(BV_Data_An_Prec!$AN:$AN,BV_Data_An_Prec!$AQ:$AQ,$V502)</f>
        <v>0</v>
      </c>
      <c r="AM502" s="403">
        <f t="shared" si="116"/>
        <v>2219.4816058394163</v>
      </c>
      <c r="AN502" s="401">
        <f t="shared" si="117"/>
        <v>912206.94000000006</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-4361.171946472019</v>
      </c>
      <c r="AF503" s="399">
        <f t="shared" si="110"/>
        <v>-1792441.67</v>
      </c>
      <c r="AG503" s="400" t="e">
        <f t="shared" si="111"/>
        <v>#DIV/0!</v>
      </c>
      <c r="AH503" s="401">
        <f t="shared" si="112"/>
        <v>-1792441.67</v>
      </c>
      <c r="AI503" s="402">
        <f t="shared" si="113"/>
        <v>0</v>
      </c>
      <c r="AJ503" s="407"/>
      <c r="AK503" s="401">
        <f t="shared" si="115"/>
        <v>0</v>
      </c>
      <c r="AL503" s="399">
        <f>SUMIFS(BV_Data_An_Prec!$AN:$AN,BV_Data_An_Prec!$AQ:$AQ,$V503)</f>
        <v>0</v>
      </c>
      <c r="AM503" s="403">
        <f>AE503-AK503</f>
        <v>-4361.171946472019</v>
      </c>
      <c r="AN503" s="401">
        <f t="shared" si="117"/>
        <v>-1792441.67</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-0.1004617647376319</v>
      </c>
      <c r="AE506" s="419"/>
      <c r="AF506" s="416">
        <f>SUM(AF496:AF505)</f>
        <v>-558388.58999999985</v>
      </c>
      <c r="AG506" s="418"/>
      <c r="AH506" s="419">
        <f t="shared" ref="AH506:AH538" si="124">AF506-Z506</f>
        <v>-558388.58999999985</v>
      </c>
      <c r="AI506" s="415" t="e">
        <f>AH506/Z506</f>
        <v>#DIV/0!</v>
      </c>
      <c r="AJ506" s="417">
        <f>IF($AL$494=0,0,AL506/$AL$494)</f>
        <v>0</v>
      </c>
      <c r="AK506" s="419"/>
      <c r="AL506" s="416">
        <f>SUM(AL496:AL505)</f>
        <v>0</v>
      </c>
      <c r="AM506" s="423"/>
      <c r="AN506" s="419">
        <f t="shared" si="122"/>
        <v>-558388.58999999985</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277228.73</v>
      </c>
      <c r="AG507" s="400"/>
      <c r="AH507" s="401">
        <f t="shared" si="124"/>
        <v>277228.73</v>
      </c>
      <c r="AI507" s="402">
        <f t="shared" ref="AI507:AI519" si="125">IF(Z507=0,0,AH507/Z507)</f>
        <v>0</v>
      </c>
      <c r="AJ507" s="407"/>
      <c r="AK507" s="406"/>
      <c r="AL507" s="399">
        <f>SUMIFS(BV_Data_An_Prec!$AN:$AN,BV_Data_An_Prec!$AQ:$AQ,$V507)</f>
        <v>0</v>
      </c>
      <c r="AM507" s="403"/>
      <c r="AN507" s="401">
        <f t="shared" si="122"/>
        <v>277228.73</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619537.43000000005</v>
      </c>
      <c r="AG508" s="400"/>
      <c r="AH508" s="401">
        <f t="shared" si="124"/>
        <v>619537.43000000005</v>
      </c>
      <c r="AI508" s="402">
        <f t="shared" si="125"/>
        <v>0</v>
      </c>
      <c r="AJ508" s="407"/>
      <c r="AK508" s="406"/>
      <c r="AL508" s="399">
        <f>SUMIFS(BV_Data_An_Prec!$AN:$AN,BV_Data_An_Prec!$AQ:$AQ,$V508)</f>
        <v>0</v>
      </c>
      <c r="AM508" s="403"/>
      <c r="AN508" s="401">
        <f t="shared" si="122"/>
        <v>619537.43000000005</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450957.36000000004</v>
      </c>
      <c r="AG509" s="384"/>
      <c r="AH509" s="385">
        <f t="shared" si="124"/>
        <v>450957.36000000004</v>
      </c>
      <c r="AI509" s="412">
        <f t="shared" si="125"/>
        <v>0</v>
      </c>
      <c r="AJ509" s="411"/>
      <c r="AK509" s="410"/>
      <c r="AL509" s="383">
        <f>SUMIFS(BV_Data_An_Prec!$AN:$AN,BV_Data_An_Prec!$AQ:$AQ,$V509)</f>
        <v>0</v>
      </c>
      <c r="AM509" s="387"/>
      <c r="AN509" s="385">
        <f t="shared" si="122"/>
        <v>450957.36000000004</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528636.89</v>
      </c>
      <c r="AG510" s="400"/>
      <c r="AH510" s="401">
        <f t="shared" si="124"/>
        <v>528636.89</v>
      </c>
      <c r="AI510" s="402">
        <f t="shared" si="125"/>
        <v>0</v>
      </c>
      <c r="AJ510" s="407"/>
      <c r="AK510" s="406"/>
      <c r="AL510" s="399">
        <f>SUMIFS(BV_Data_An_Prec!$AN:$AN,BV_Data_An_Prec!$AQ:$AQ,$V510)</f>
        <v>0</v>
      </c>
      <c r="AM510" s="403"/>
      <c r="AN510" s="401">
        <f t="shared" si="122"/>
        <v>528636.89</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227709.23</v>
      </c>
      <c r="AG515" s="384"/>
      <c r="AH515" s="385">
        <f t="shared" si="124"/>
        <v>227709.23</v>
      </c>
      <c r="AI515" s="412">
        <f t="shared" si="125"/>
        <v>0</v>
      </c>
      <c r="AJ515" s="411"/>
      <c r="AK515" s="410"/>
      <c r="AL515" s="383">
        <f>SUMIFS(BV_Data_An_Prec!$AN:$AN,BV_Data_An_Prec!$AQ:$AQ,$V515)</f>
        <v>0</v>
      </c>
      <c r="AM515" s="387"/>
      <c r="AN515" s="385">
        <f t="shared" si="122"/>
        <v>227709.23</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315302.01</v>
      </c>
      <c r="AG516" s="400"/>
      <c r="AH516" s="401">
        <f t="shared" si="124"/>
        <v>315302.01</v>
      </c>
      <c r="AI516" s="402">
        <f t="shared" si="125"/>
        <v>0</v>
      </c>
      <c r="AJ516" s="407"/>
      <c r="AK516" s="406"/>
      <c r="AL516" s="399">
        <f>SUMIFS(BV_Data_An_Prec!$AN:$AN,BV_Data_An_Prec!$AQ:$AQ,$V516)</f>
        <v>0</v>
      </c>
      <c r="AM516" s="403"/>
      <c r="AN516" s="401">
        <f t="shared" si="122"/>
        <v>315302.01</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153755.84</v>
      </c>
      <c r="AG517" s="400"/>
      <c r="AH517" s="401">
        <f t="shared" si="124"/>
        <v>153755.84</v>
      </c>
      <c r="AI517" s="402">
        <f t="shared" si="125"/>
        <v>0</v>
      </c>
      <c r="AJ517" s="407"/>
      <c r="AK517" s="406"/>
      <c r="AL517" s="399">
        <f>SUMIFS(BV_Data_An_Prec!$AN:$AN,BV_Data_An_Prec!$AQ:$AQ,$V517)</f>
        <v>0</v>
      </c>
      <c r="AM517" s="403"/>
      <c r="AN517" s="401">
        <f t="shared" si="122"/>
        <v>153755.84</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8916.99</v>
      </c>
      <c r="AG518" s="400"/>
      <c r="AH518" s="401">
        <f t="shared" si="124"/>
        <v>8916.99</v>
      </c>
      <c r="AI518" s="420">
        <f t="shared" si="125"/>
        <v>0</v>
      </c>
      <c r="AJ518" s="407"/>
      <c r="AK518" s="406"/>
      <c r="AL518" s="399">
        <f>SUMIFS(BV_Data_An_Prec!$AN:$AN,BV_Data_An_Prec!$AQ:$AQ,$V518)</f>
        <v>0</v>
      </c>
      <c r="AM518" s="403"/>
      <c r="AN518" s="401">
        <f t="shared" si="122"/>
        <v>8916.99</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0.46454521051703651</v>
      </c>
      <c r="AE520" s="421"/>
      <c r="AF520" s="416">
        <f>SUM(AF507:AF519)</f>
        <v>2582044.4800000004</v>
      </c>
      <c r="AG520" s="418"/>
      <c r="AH520" s="419">
        <f t="shared" si="124"/>
        <v>2582044.4800000004</v>
      </c>
      <c r="AI520" s="415" t="e">
        <f>AH520/Z520</f>
        <v>#DIV/0!</v>
      </c>
      <c r="AJ520" s="417">
        <f>IF($AL$494=0,0,AL520/$AL$494)</f>
        <v>0</v>
      </c>
      <c r="AK520" s="421"/>
      <c r="AL520" s="416">
        <f>SUM(AL507:AL519)</f>
        <v>0</v>
      </c>
      <c r="AM520" s="423"/>
      <c r="AN520" s="419">
        <f t="shared" si="122"/>
        <v>2582044.4800000004</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22342.1</v>
      </c>
      <c r="AG521" s="427"/>
      <c r="AH521" s="429">
        <f t="shared" si="124"/>
        <v>22342.1</v>
      </c>
      <c r="AI521" s="430">
        <f t="shared" ref="AI521:AI538" si="129">IF(Z521=0,0,AH521/Z521)</f>
        <v>0</v>
      </c>
      <c r="AJ521" s="427"/>
      <c r="AK521" s="428"/>
      <c r="AL521" s="426">
        <f>SUMIFS(BV_Data_An_Prec!$AN:$AN,BV_Data_An_Prec!$AQ:$AQ,$V521)</f>
        <v>0</v>
      </c>
      <c r="AM521" s="431"/>
      <c r="AN521" s="429">
        <f t="shared" si="122"/>
        <v>22342.1</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23047.52</v>
      </c>
      <c r="AG522" s="400"/>
      <c r="AH522" s="401">
        <f t="shared" si="124"/>
        <v>23047.52</v>
      </c>
      <c r="AI522" s="402">
        <f t="shared" si="129"/>
        <v>0</v>
      </c>
      <c r="AJ522" s="407"/>
      <c r="AK522" s="406"/>
      <c r="AL522" s="399">
        <f>SUMIFS(BV_Data_An_Prec!$AN:$AN,BV_Data_An_Prec!$AQ:$AQ,$V522)</f>
        <v>0</v>
      </c>
      <c r="AM522" s="403"/>
      <c r="AN522" s="401">
        <f t="shared" si="122"/>
        <v>23047.52</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44891.59</v>
      </c>
      <c r="AG523" s="384"/>
      <c r="AH523" s="385">
        <f t="shared" si="124"/>
        <v>44891.59</v>
      </c>
      <c r="AI523" s="412">
        <f t="shared" si="129"/>
        <v>0</v>
      </c>
      <c r="AJ523" s="411"/>
      <c r="AK523" s="410"/>
      <c r="AL523" s="383">
        <f>SUMIFS(BV_Data_An_Prec!$AN:$AN,BV_Data_An_Prec!$AQ:$AQ,$V523)</f>
        <v>0</v>
      </c>
      <c r="AM523" s="387"/>
      <c r="AN523" s="385">
        <f t="shared" si="122"/>
        <v>44891.59</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71128.150000000009</v>
      </c>
      <c r="AG524" s="400"/>
      <c r="AH524" s="401">
        <f t="shared" si="124"/>
        <v>71128.150000000009</v>
      </c>
      <c r="AI524" s="402">
        <f t="shared" si="129"/>
        <v>0</v>
      </c>
      <c r="AJ524" s="407"/>
      <c r="AK524" s="406"/>
      <c r="AL524" s="399">
        <f>SUMIFS(BV_Data_An_Prec!$AN:$AN,BV_Data_An_Prec!$AQ:$AQ,$V524)</f>
        <v>0</v>
      </c>
      <c r="AM524" s="403"/>
      <c r="AN524" s="401">
        <f t="shared" si="122"/>
        <v>71128.150000000009</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74819.399999999994</v>
      </c>
      <c r="AG525" s="400"/>
      <c r="AH525" s="401">
        <f t="shared" si="124"/>
        <v>74819.399999999994</v>
      </c>
      <c r="AI525" s="402">
        <f t="shared" si="129"/>
        <v>0</v>
      </c>
      <c r="AJ525" s="407"/>
      <c r="AK525" s="406"/>
      <c r="AL525" s="399">
        <f>SUMIFS(BV_Data_An_Prec!$AN:$AN,BV_Data_An_Prec!$AQ:$AQ,$V525)</f>
        <v>0</v>
      </c>
      <c r="AM525" s="403"/>
      <c r="AN525" s="401">
        <f t="shared" si="122"/>
        <v>74819.399999999994</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183712.71999999994</v>
      </c>
      <c r="AG526" s="400"/>
      <c r="AH526" s="401">
        <f t="shared" si="124"/>
        <v>183712.71999999994</v>
      </c>
      <c r="AI526" s="402">
        <f t="shared" si="129"/>
        <v>0</v>
      </c>
      <c r="AJ526" s="407"/>
      <c r="AK526" s="406"/>
      <c r="AL526" s="399">
        <f>SUMIFS(BV_Data_An_Prec!$AN:$AN,BV_Data_An_Prec!$AQ:$AQ,$V526)</f>
        <v>0</v>
      </c>
      <c r="AM526" s="403"/>
      <c r="AN526" s="401">
        <f t="shared" si="122"/>
        <v>183712.71999999994</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32200.18</v>
      </c>
      <c r="AG528" s="400"/>
      <c r="AH528" s="401">
        <f t="shared" si="124"/>
        <v>32200.18</v>
      </c>
      <c r="AI528" s="402">
        <f t="shared" si="129"/>
        <v>0</v>
      </c>
      <c r="AJ528" s="407"/>
      <c r="AK528" s="406"/>
      <c r="AL528" s="399">
        <f>SUMIFS(BV_Data_An_Prec!$AN:$AN,BV_Data_An_Prec!$AQ:$AQ,$V528)</f>
        <v>0</v>
      </c>
      <c r="AM528" s="403"/>
      <c r="AN528" s="401">
        <f t="shared" si="122"/>
        <v>32200.18</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35151.829999999994</v>
      </c>
      <c r="AG530" s="400"/>
      <c r="AH530" s="401">
        <f t="shared" si="124"/>
        <v>35151.829999999994</v>
      </c>
      <c r="AI530" s="402">
        <f t="shared" si="129"/>
        <v>0</v>
      </c>
      <c r="AJ530" s="407"/>
      <c r="AK530" s="406"/>
      <c r="AL530" s="399">
        <f>SUMIFS(BV_Data_An_Prec!$AN:$AN,BV_Data_An_Prec!$AQ:$AQ,$V530)</f>
        <v>0</v>
      </c>
      <c r="AM530" s="403"/>
      <c r="AN530" s="401">
        <f t="shared" si="122"/>
        <v>35151.829999999994</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22448.67</v>
      </c>
      <c r="AG531" s="400"/>
      <c r="AH531" s="401">
        <f t="shared" si="124"/>
        <v>22448.67</v>
      </c>
      <c r="AI531" s="420">
        <f t="shared" si="129"/>
        <v>0</v>
      </c>
      <c r="AJ531" s="407"/>
      <c r="AK531" s="406"/>
      <c r="AL531" s="399">
        <f>SUMIFS(BV_Data_An_Prec!$AN:$AN,BV_Data_An_Prec!$AQ:$AQ,$V531)</f>
        <v>0</v>
      </c>
      <c r="AM531" s="403"/>
      <c r="AN531" s="401">
        <f t="shared" si="122"/>
        <v>22448.67</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23758.42</v>
      </c>
      <c r="AG532" s="400"/>
      <c r="AH532" s="401">
        <f t="shared" si="124"/>
        <v>23758.42</v>
      </c>
      <c r="AI532" s="402">
        <f t="shared" si="129"/>
        <v>0</v>
      </c>
      <c r="AJ532" s="407"/>
      <c r="AK532" s="406"/>
      <c r="AL532" s="399">
        <f>SUMIFS(BV_Data_An_Prec!$AN:$AN,BV_Data_An_Prec!$AQ:$AQ,$V532)</f>
        <v>0</v>
      </c>
      <c r="AM532" s="403"/>
      <c r="AN532" s="401">
        <f t="shared" si="122"/>
        <v>23758.42</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54782.740000000005</v>
      </c>
      <c r="AG533" s="400"/>
      <c r="AH533" s="401">
        <f t="shared" si="124"/>
        <v>54782.740000000005</v>
      </c>
      <c r="AI533" s="420">
        <f t="shared" si="129"/>
        <v>0</v>
      </c>
      <c r="AJ533" s="407"/>
      <c r="AK533" s="406"/>
      <c r="AL533" s="399">
        <f>SUMIFS(BV_Data_An_Prec!$AN:$AN,BV_Data_An_Prec!$AQ:$AQ,$V533)</f>
        <v>0</v>
      </c>
      <c r="AM533" s="403"/>
      <c r="AN533" s="401">
        <f t="shared" si="122"/>
        <v>54782.740000000005</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27649.56</v>
      </c>
      <c r="AG534" s="400"/>
      <c r="AH534" s="401">
        <f t="shared" si="124"/>
        <v>27649.56</v>
      </c>
      <c r="AI534" s="402">
        <f t="shared" si="129"/>
        <v>0</v>
      </c>
      <c r="AJ534" s="407"/>
      <c r="AK534" s="406"/>
      <c r="AL534" s="399">
        <f>SUMIFS(BV_Data_An_Prec!$AN:$AN,BV_Data_An_Prec!$AQ:$AQ,$V534)</f>
        <v>0</v>
      </c>
      <c r="AM534" s="403"/>
      <c r="AN534" s="401">
        <f t="shared" si="122"/>
        <v>27649.56</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9308.9599999999991</v>
      </c>
      <c r="AG535" s="400"/>
      <c r="AH535" s="659">
        <f t="shared" si="124"/>
        <v>9308.9599999999991</v>
      </c>
      <c r="AI535" s="402">
        <f t="shared" si="129"/>
        <v>0</v>
      </c>
      <c r="AJ535" s="407"/>
      <c r="AK535" s="406"/>
      <c r="AL535" s="399">
        <f>SUMIFS(BV_Data_An_Prec!$AN:$AN,BV_Data_An_Prec!$AQ:$AQ,$V535)</f>
        <v>0</v>
      </c>
      <c r="AM535" s="403"/>
      <c r="AN535" s="401">
        <f t="shared" si="122"/>
        <v>9308.9599999999991</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0.11248958119685808</v>
      </c>
      <c r="AE539" s="414"/>
      <c r="AF539" s="416">
        <f>+SUM(AF521:AF538)</f>
        <v>625241.84</v>
      </c>
      <c r="AG539" s="422"/>
      <c r="AH539" s="435">
        <f>+SUM(AH521:AH538)</f>
        <v>625241.84</v>
      </c>
      <c r="AI539" s="415" t="e">
        <f>AH539/Z539</f>
        <v>#DIV/0!</v>
      </c>
      <c r="AJ539" s="417">
        <f>IF($AL$494=0,0,AL539/$AL$494)</f>
        <v>0</v>
      </c>
      <c r="AK539" s="414"/>
      <c r="AL539" s="416">
        <f>+SUM(AL521:AL538)</f>
        <v>0</v>
      </c>
      <c r="AM539" s="423"/>
      <c r="AN539" s="419">
        <f t="shared" si="122"/>
        <v>625241.84</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649900.50000000012</v>
      </c>
      <c r="AG540" s="400"/>
      <c r="AH540" s="401">
        <f t="shared" ref="AH540:AH548" si="132">AF540-Z540</f>
        <v>649900.50000000012</v>
      </c>
      <c r="AI540" s="402">
        <f t="shared" ref="AI540:AI548" si="133">IF(Z540=0,0,AH540/Z540)</f>
        <v>0</v>
      </c>
      <c r="AJ540" s="407"/>
      <c r="AK540" s="406"/>
      <c r="AL540" s="399">
        <f>SUMIFS(BV_Data_An_Prec!$AN:$AN,BV_Data_An_Prec!$AQ:$AQ,$V540)</f>
        <v>0</v>
      </c>
      <c r="AM540" s="403"/>
      <c r="AN540" s="401">
        <f t="shared" si="122"/>
        <v>649900.50000000012</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27348</v>
      </c>
      <c r="AG541" s="400"/>
      <c r="AH541" s="401">
        <f t="shared" si="132"/>
        <v>27348</v>
      </c>
      <c r="AI541" s="402">
        <f t="shared" si="133"/>
        <v>0</v>
      </c>
      <c r="AJ541" s="407"/>
      <c r="AK541" s="406"/>
      <c r="AL541" s="399">
        <f>SUMIFS(BV_Data_An_Prec!$AN:$AN,BV_Data_An_Prec!$AQ:$AQ,$V541)</f>
        <v>0</v>
      </c>
      <c r="AM541" s="403"/>
      <c r="AN541" s="401">
        <f t="shared" si="122"/>
        <v>27348</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69907.51999999999</v>
      </c>
      <c r="AG542" s="384"/>
      <c r="AH542" s="385">
        <f t="shared" si="132"/>
        <v>69907.51999999999</v>
      </c>
      <c r="AI542" s="412">
        <f t="shared" si="133"/>
        <v>0</v>
      </c>
      <c r="AJ542" s="411"/>
      <c r="AK542" s="410"/>
      <c r="AL542" s="383">
        <f>SUMIFS(BV_Data_An_Prec!$AN:$AN,BV_Data_An_Prec!$AQ:$AQ,$V542)</f>
        <v>0</v>
      </c>
      <c r="AM542" s="387"/>
      <c r="AN542" s="385">
        <f t="shared" si="122"/>
        <v>69907.51999999999</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78441.66</v>
      </c>
      <c r="AG544" s="384"/>
      <c r="AH544" s="385">
        <f t="shared" si="132"/>
        <v>78441.66</v>
      </c>
      <c r="AI544" s="412">
        <f t="shared" si="133"/>
        <v>0</v>
      </c>
      <c r="AJ544" s="411"/>
      <c r="AK544" s="410"/>
      <c r="AL544" s="383">
        <f>SUMIFS(BV_Data_An_Prec!$AN:$AN,BV_Data_An_Prec!$AQ:$AQ,$V544)</f>
        <v>0</v>
      </c>
      <c r="AM544" s="387"/>
      <c r="AN544" s="385">
        <f t="shared" si="122"/>
        <v>78441.66</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51316.090000000011</v>
      </c>
      <c r="AG545" s="400"/>
      <c r="AH545" s="401">
        <f t="shared" si="132"/>
        <v>51316.090000000011</v>
      </c>
      <c r="AI545" s="402">
        <f t="shared" si="133"/>
        <v>0</v>
      </c>
      <c r="AJ545" s="407"/>
      <c r="AK545" s="406"/>
      <c r="AL545" s="399">
        <f>SUMIFS(BV_Data_An_Prec!$AN:$AN,BV_Data_An_Prec!$AQ:$AQ,$V545)</f>
        <v>0</v>
      </c>
      <c r="AM545" s="403"/>
      <c r="AN545" s="401">
        <f t="shared" si="122"/>
        <v>51316.090000000011</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8035.75</v>
      </c>
      <c r="AG546" s="400"/>
      <c r="AH546" s="401">
        <f t="shared" si="132"/>
        <v>8035.75</v>
      </c>
      <c r="AI546" s="402">
        <f t="shared" si="133"/>
        <v>0</v>
      </c>
      <c r="AJ546" s="407"/>
      <c r="AK546" s="406"/>
      <c r="AL546" s="399">
        <f>SUMIFS(BV_Data_An_Prec!$AN:$AN,BV_Data_An_Prec!$AQ:$AQ,$V546)</f>
        <v>0</v>
      </c>
      <c r="AM546" s="403"/>
      <c r="AN546" s="401">
        <f t="shared" si="122"/>
        <v>8035.75</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31109.83</v>
      </c>
      <c r="AG547" s="384"/>
      <c r="AH547" s="385">
        <f t="shared" si="132"/>
        <v>31109.83</v>
      </c>
      <c r="AI547" s="412">
        <f t="shared" si="133"/>
        <v>0</v>
      </c>
      <c r="AJ547" s="411"/>
      <c r="AK547" s="410"/>
      <c r="AL547" s="383">
        <f>SUMIFS(BV_Data_An_Prec!$AN:$AN,BV_Data_An_Prec!$AQ:$AQ,$V547)</f>
        <v>0</v>
      </c>
      <c r="AM547" s="387"/>
      <c r="AN547" s="385">
        <f t="shared" si="122"/>
        <v>31109.83</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5294.78</v>
      </c>
      <c r="AG548" s="400"/>
      <c r="AH548" s="401">
        <f t="shared" si="132"/>
        <v>5294.78</v>
      </c>
      <c r="AI548" s="439">
        <f t="shared" si="133"/>
        <v>0</v>
      </c>
      <c r="AJ548" s="407"/>
      <c r="AK548" s="406"/>
      <c r="AL548" s="399">
        <f>SUMIFS(BV_Data_An_Prec!$AN:$AN,BV_Data_An_Prec!$AQ:$AQ,$V548)</f>
        <v>0</v>
      </c>
      <c r="AM548" s="403"/>
      <c r="AN548" s="401">
        <f t="shared" si="122"/>
        <v>5294.78</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0.16576424286912014</v>
      </c>
      <c r="AE553" s="414"/>
      <c r="AF553" s="416">
        <f>SUM(AF540:AF552)</f>
        <v>921354.13000000012</v>
      </c>
      <c r="AG553" s="422"/>
      <c r="AH553" s="435">
        <f>SUM(AH540:AH552)</f>
        <v>921354.13000000012</v>
      </c>
      <c r="AI553" s="415">
        <f>IF(Z553=0,0,AH553/Z553)</f>
        <v>0</v>
      </c>
      <c r="AJ553" s="417">
        <f>IF($AL$494=0,0,AL553/$AL$494)</f>
        <v>0</v>
      </c>
      <c r="AK553" s="414"/>
      <c r="AL553" s="416">
        <f>SUM(AL540:AL552)</f>
        <v>0</v>
      </c>
      <c r="AM553" s="423"/>
      <c r="AN553" s="419">
        <f t="shared" si="122"/>
        <v>921354.13000000012</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0.64233726984538275</v>
      </c>
      <c r="AE555" s="414"/>
      <c r="AF555" s="416">
        <f>AF506+AF520+AF539+AF553</f>
        <v>3570251.8600000003</v>
      </c>
      <c r="AG555" s="422"/>
      <c r="AH555" s="435">
        <f t="shared" si="134"/>
        <v>3570251.8600000003</v>
      </c>
      <c r="AI555" s="415" t="e">
        <f>AH555/Z555</f>
        <v>#DIV/0!</v>
      </c>
      <c r="AJ555" s="417">
        <f>IF($AL$494=0,0,AL555/$AL$494)</f>
        <v>0</v>
      </c>
      <c r="AK555" s="414"/>
      <c r="AL555" s="416">
        <f>AL506+AL520+AL539+AL553</f>
        <v>0</v>
      </c>
      <c r="AM555" s="423"/>
      <c r="AN555" s="419">
        <f t="shared" ref="AN555:AN568" si="135">AF555-AL555</f>
        <v>3570251.8600000003</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240334.00999999998</v>
      </c>
      <c r="AG556" s="446"/>
      <c r="AH556" s="401">
        <f t="shared" si="134"/>
        <v>240334.00999999998</v>
      </c>
      <c r="AI556" s="439" t="e">
        <f>IF(AH556=0,0,AH556/Z556)</f>
        <v>#DIV/0!</v>
      </c>
      <c r="AJ556" s="445"/>
      <c r="AK556" s="444"/>
      <c r="AL556" s="426">
        <f>-SUMIFS(BV_Data_An_Prec!$AN:$AN,BV_Data_An_Prec!$AQ:$AQ,$V556)</f>
        <v>0</v>
      </c>
      <c r="AM556" s="447"/>
      <c r="AN556" s="401">
        <f t="shared" si="135"/>
        <v>240334.00999999998</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153188.49</v>
      </c>
      <c r="AG558" s="450"/>
      <c r="AH558" s="401">
        <f t="shared" si="134"/>
        <v>153188.49</v>
      </c>
      <c r="AI558" s="420" t="e">
        <f t="shared" ref="AI558:AI567" si="139">IF(AH558=0,0,AH558/Z558)</f>
        <v>#DIV/0!</v>
      </c>
      <c r="AJ558" s="451"/>
      <c r="AL558" s="399">
        <f>-SUMIFS(BV_Data_An_Prec!$AN:$AN,BV_Data_An_Prec!$AQ:$AQ,$V558)</f>
        <v>0</v>
      </c>
      <c r="AM558" s="448"/>
      <c r="AN558" s="401">
        <f t="shared" si="135"/>
        <v>153188.49</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7.0800094274785869E-2</v>
      </c>
      <c r="AE568" s="434"/>
      <c r="AF568" s="416">
        <f>SUM(AF556:AF567)</f>
        <v>393522.5</v>
      </c>
      <c r="AG568" s="422"/>
      <c r="AH568" s="419">
        <f t="shared" si="134"/>
        <v>393522.5</v>
      </c>
      <c r="AI568" s="415" t="e">
        <f>AH568/Z568</f>
        <v>#DIV/0!</v>
      </c>
      <c r="AJ568" s="415"/>
      <c r="AK568" s="434"/>
      <c r="AL568" s="416">
        <f>SUM(AL556:AL567)</f>
        <v>0</v>
      </c>
      <c r="AM568" s="453"/>
      <c r="AN568" s="419">
        <f t="shared" si="135"/>
        <v>393522.5</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1.699416364457421E-2</v>
      </c>
      <c r="AF570" s="468">
        <f>AF494-AF555+AF568</f>
        <v>2381490.639999995</v>
      </c>
      <c r="AG570" s="470"/>
      <c r="AH570" s="470" t="e">
        <f>AF570-Z570</f>
        <v>#REF!</v>
      </c>
      <c r="AI570" s="471" t="e">
        <f>AH570/Z570</f>
        <v>#REF!</v>
      </c>
      <c r="AJ570" s="466" t="s">
        <v>215</v>
      </c>
      <c r="AK570" s="467">
        <f>IF($AL$493=0,0,AL570/$AL$493)</f>
        <v>0</v>
      </c>
      <c r="AL570" s="468">
        <f>AL494-AL555+AL568</f>
        <v>0</v>
      </c>
      <c r="AM570" s="472"/>
      <c r="AN570" s="469">
        <f>AF570-AL570</f>
        <v>2381490.639999995</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Juin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2.3503613547797984E-2</v>
      </c>
      <c r="AF575" s="752">
        <f>AF576+AF502</f>
        <v>3293697.579999995</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3293697.579999995</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1.699416364457421E-2</v>
      </c>
      <c r="AF576" s="468">
        <f>AF570</f>
        <v>2381490.639999995</v>
      </c>
      <c r="AG576" s="469"/>
      <c r="AH576" s="470" t="e">
        <f>AF576-Z576</f>
        <v>#REF!</v>
      </c>
      <c r="AI576" s="471" t="e">
        <f>AH576/Z576</f>
        <v>#REF!</v>
      </c>
      <c r="AJ576" s="466" t="s">
        <v>215</v>
      </c>
      <c r="AK576" s="467">
        <f>IF($AL$493=0,0,AL576/$AL$493)</f>
        <v>0</v>
      </c>
      <c r="AL576" s="468">
        <f>AL570</f>
        <v>0</v>
      </c>
      <c r="AM576" s="474"/>
      <c r="AN576" s="475">
        <f t="shared" si="141"/>
        <v>2381490.639999995</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68365.329999999987</v>
      </c>
      <c r="AG578" s="398"/>
      <c r="AH578" s="401">
        <f t="shared" ref="AH578:AH585" si="143">AF578-Z578</f>
        <v>68365.329999999987</v>
      </c>
      <c r="AI578" s="420">
        <f t="shared" ref="AI578:AI584" si="144">IF(Z578=0,0,AH578/Z578)</f>
        <v>0</v>
      </c>
      <c r="AJ578" s="398"/>
      <c r="AK578" s="406"/>
      <c r="AL578" s="399">
        <f>SUMIFS(BV_Data_An_Prec!$AN:$AN,BV_Data_An_Prec!$AQ:$AQ,$V578)</f>
        <v>0</v>
      </c>
      <c r="AM578" s="403"/>
      <c r="AN578" s="401">
        <f t="shared" si="141"/>
        <v>68365.329999999987</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1.6506313058004062E-2</v>
      </c>
      <c r="AF585" s="468">
        <f>AF576-AF578-AF579-AF580-AF584-AF583</f>
        <v>2313125.3099999949</v>
      </c>
      <c r="AG585" s="470"/>
      <c r="AH585" s="470" t="e">
        <f t="shared" si="143"/>
        <v>#REF!</v>
      </c>
      <c r="AI585" s="471" t="e">
        <f>AH585/Z585</f>
        <v>#REF!</v>
      </c>
      <c r="AJ585" s="466" t="s">
        <v>215</v>
      </c>
      <c r="AK585" s="467">
        <f>IF($AL$493=0,0,AL585/$AL$493)</f>
        <v>0</v>
      </c>
      <c r="AL585" s="468">
        <f>AL576-AL578-AL579-AL580-AL584-AL583</f>
        <v>0</v>
      </c>
      <c r="AM585" s="472"/>
      <c r="AN585" s="469">
        <f t="shared" si="141"/>
        <v>2313125.3099999949</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2313129</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-3.6900000050663948</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Juin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33</v>
      </c>
      <c r="M6" s="659">
        <f>-SUMIFS(BV_Data_An_Cour!$AM:$AM,BV_Data_An_Cour!$AO:$AO,$Y6)</f>
        <v>42485.899999999994</v>
      </c>
      <c r="N6" s="1038">
        <f>IFERROR(O6/M6,0)</f>
        <v>0.71003015117956769</v>
      </c>
      <c r="O6" s="997">
        <f>-SUMIFS(BV_Data_An_Cour!$AM:$AM,BV_Data_An_Cour!$AO:$AO,$Y6)-SUMIFS(BV_Data_An_Cour!$AM:$AM,BV_Data_An_Cour!$AO:$AO,$Z6)</f>
        <v>30166.26999999999</v>
      </c>
      <c r="P6" s="1039">
        <f>IFERROR((M6-E6)/E6,0)</f>
        <v>0</v>
      </c>
      <c r="Q6" s="997">
        <f>O6-G6</f>
        <v>30166.26999999999</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30166.26999999999</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37</v>
      </c>
      <c r="M10" s="659">
        <f>-SUMIFS(BV_Data_An_Cour!$AM:$AM,BV_Data_An_Cour!$AO:$AO,$Y10)</f>
        <v>21764.25</v>
      </c>
      <c r="N10" s="1038">
        <f t="shared" si="0"/>
        <v>0.69449716852177301</v>
      </c>
      <c r="O10" s="997">
        <f>-SUMIFS(BV_Data_An_Cour!$AM:$AM,BV_Data_An_Cour!$AO:$AO,$Y10)-SUMIFS(BV_Data_An_Cour!$AM:$AM,BV_Data_An_Cour!$AO:$AO,$Z10)</f>
        <v>15115.21</v>
      </c>
      <c r="P10" s="1039">
        <f t="shared" si="1"/>
        <v>0</v>
      </c>
      <c r="Q10" s="997">
        <f t="shared" si="2"/>
        <v>15115.21</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15115.21</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27</v>
      </c>
      <c r="M12" s="659">
        <f>-SUMIFS(BV_Data_An_Cour!$AM:$AM,BV_Data_An_Cour!$AO:$AO,$Y12)</f>
        <v>70380.56</v>
      </c>
      <c r="N12" s="1038">
        <f t="shared" si="0"/>
        <v>0.15886886947191139</v>
      </c>
      <c r="O12" s="997">
        <f>-SUMIFS(BV_Data_An_Cour!$AM:$AM,BV_Data_An_Cour!$AO:$AO,$Y12)-SUMIFS(BV_Data_An_Cour!$AM:$AM,BV_Data_An_Cour!$AO:$AO,$Z12)</f>
        <v>11181.280000000028</v>
      </c>
      <c r="P12" s="1003">
        <f t="shared" si="1"/>
        <v>0</v>
      </c>
      <c r="Q12" s="1004">
        <f t="shared" si="2"/>
        <v>11181.280000000028</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11181.280000000028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134630.71</v>
      </c>
      <c r="N13" s="1009">
        <f t="shared" si="0"/>
        <v>0.4193898999715594</v>
      </c>
      <c r="O13" s="1008">
        <f>SUM(O6:O12)</f>
        <v>56462.760000000017</v>
      </c>
      <c r="P13" s="1012">
        <f>IFERROR((M13-E13)/E13,0)</f>
        <v>0</v>
      </c>
      <c r="Q13" s="1013">
        <f>O13-G13</f>
        <v>56462.760000000017</v>
      </c>
      <c r="R13" s="1011"/>
      <c r="S13" s="1008">
        <f>SUM(S6:S12)</f>
        <v>0</v>
      </c>
      <c r="T13" s="1009">
        <f t="shared" ref="T13" si="6">IFERROR(U13/S13,0)</f>
        <v>0</v>
      </c>
      <c r="U13" s="1008">
        <f>SUM(U6:U12)</f>
        <v>0</v>
      </c>
      <c r="V13" s="1012">
        <f>IF(R13=0,0,L13/R13)</f>
        <v>0</v>
      </c>
      <c r="W13" s="1013">
        <f>O13-U13</f>
        <v>56462.760000000017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8</v>
      </c>
      <c r="M15" s="659">
        <f>-SUMIFS(BV_Data_An_Cour!$AM:$AM,BV_Data_An_Cour!$AO:$AO,$Y15)</f>
        <v>5239.1700000000019</v>
      </c>
      <c r="N15" s="1038">
        <f>IFERROR(O15/M15,0)</f>
        <v>0.30551976744408016</v>
      </c>
      <c r="O15" s="997">
        <f>-SUMIFS(BV_Data_An_Cour!$AM:$AM,BV_Data_An_Cour!$AO:$AO,$Y15)-SUMIFS(BV_Data_An_Cour!$AM:$AM,BV_Data_An_Cour!$AO:$AO,$Z15)</f>
        <v>1600.6700000000019</v>
      </c>
      <c r="P15" s="1039">
        <f t="shared" ref="P15:P21" si="7">IFERROR((M15-E15)/E15,0)</f>
        <v>0</v>
      </c>
      <c r="Q15" s="997">
        <f t="shared" ref="Q15:Q21" si="8">O15-G15</f>
        <v>1600.6700000000019</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1600.6700000000019</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1</v>
      </c>
      <c r="M22" s="659">
        <f>-SUMIFS(BV_Data_An_Cour!$AM:$AM,BV_Data_An_Cour!$AO:$AO,$Y22)</f>
        <v>239.19999999999993</v>
      </c>
      <c r="N22" s="1038">
        <f t="shared" si="12"/>
        <v>0.28231605351170552</v>
      </c>
      <c r="O22" s="997">
        <f>-SUMIFS(BV_Data_An_Cour!$AM:$AM,BV_Data_An_Cour!$AO:$AO,$Y22)-SUMIFS(BV_Data_An_Cour!$AM:$AM,BV_Data_An_Cour!$AO:$AO,$Z22)</f>
        <v>67.529999999999944</v>
      </c>
      <c r="P22" s="1003">
        <f t="shared" ref="P22" si="13">IFERROR((M22-E22)/E22,0)</f>
        <v>0</v>
      </c>
      <c r="Q22" s="1004">
        <f t="shared" ref="Q22" si="14">O22-G22</f>
        <v>67.529999999999944</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67.529999999999944</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5478.3700000000017</v>
      </c>
      <c r="N23" s="1009">
        <f t="shared" si="12"/>
        <v>0.30450663244724274</v>
      </c>
      <c r="O23" s="1008">
        <f>SUM(O15:O22)</f>
        <v>1668.2000000000019</v>
      </c>
      <c r="P23" s="1012">
        <f>IFERROR((M23-E23)/E23,0)</f>
        <v>0</v>
      </c>
      <c r="Q23" s="1013">
        <f>O23-G23</f>
        <v>1668.2000000000019</v>
      </c>
      <c r="R23" s="1011"/>
      <c r="S23" s="1008">
        <f>SUM(S15:S22)</f>
        <v>0</v>
      </c>
      <c r="T23" s="1009">
        <f t="shared" ref="T23" si="17">IFERROR(U23/S23,0)</f>
        <v>0</v>
      </c>
      <c r="U23" s="1008">
        <f>SUM(U15:U22)</f>
        <v>0</v>
      </c>
      <c r="V23" s="1012">
        <f>IF(R23=0,0,L23/R23)</f>
        <v>0</v>
      </c>
      <c r="W23" s="1013">
        <f>SUM(W15:W22)</f>
        <v>1668.2000000000019</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-624.55999999999995</v>
      </c>
      <c r="P35" s="1015"/>
      <c r="Q35" s="1016"/>
      <c r="R35" s="994"/>
      <c r="S35" s="659"/>
      <c r="T35" s="1044"/>
      <c r="U35" s="997">
        <f>-SUMIFS(BV_Data_An_Prec!$AM:$AM,BV_Data_An_Prec!$AO:$AO,$Y35)-SUMIFS(BV_Data_An_Prec!$AM:$AM,BV_Data_An_Prec!$AO:$AO,$Z35)</f>
        <v>0</v>
      </c>
      <c r="V35" s="1015"/>
      <c r="W35" s="1017">
        <f t="shared" ref="W35" si="29">O35-U35</f>
        <v>-624.55999999999995</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140109.07999999999</v>
      </c>
      <c r="N37" s="1020">
        <f>O37/M37</f>
        <v>0.41044020844330736</v>
      </c>
      <c r="O37" s="1045">
        <f>O23+O33+O13+O35</f>
        <v>57506.400000000023</v>
      </c>
      <c r="P37" s="1022">
        <f>O38-G38</f>
        <v>0.41044020844330736</v>
      </c>
      <c r="Q37" s="1045">
        <f>O37-G37</f>
        <v>57506.400000000023</v>
      </c>
      <c r="R37" s="1021"/>
      <c r="S37" s="1019">
        <f>S23+S33+S13</f>
        <v>0</v>
      </c>
      <c r="T37" s="1020">
        <f t="shared" ref="T37" si="30">IFERROR(U37/S37,0)</f>
        <v>0</v>
      </c>
      <c r="U37" s="1045">
        <f>U23+U33+U13+U35</f>
        <v>0</v>
      </c>
      <c r="V37" s="1023">
        <f>O38-U38</f>
        <v>0.41044020844330736</v>
      </c>
      <c r="W37" s="1045">
        <f>O37-U37</f>
        <v>57506.400000000023</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0.41044020844330736</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10544.369999999995</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Juin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207</v>
      </c>
      <c r="M6" s="659">
        <f>-SUMIFS(BV_Data_An_Cour!$AN:$AN,BV_Data_An_Cour!$AO:$AO,$Y6)</f>
        <v>273621.57</v>
      </c>
      <c r="N6" s="1038">
        <f>IFERROR(O6/M6,0)</f>
        <v>0.60747502472118708</v>
      </c>
      <c r="O6" s="997">
        <f>-SUMIFS(BV_Data_An_Cour!$AN:$AN,BV_Data_An_Cour!$AO:$AO,$Y6)-SUMIFS(BV_Data_An_Cour!$AN:$AN,BV_Data_An_Cour!$AO:$AO,$Z6)</f>
        <v>166218.27000000002</v>
      </c>
      <c r="P6" s="1039">
        <f t="shared" ref="P6:P12" si="0">IFERROR((M6-E6)/E6,0)</f>
        <v>0</v>
      </c>
      <c r="Q6" s="997">
        <f t="shared" ref="Q6:Q12" si="1">O6-G6</f>
        <v>166218.27000000002</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166218.27000000002</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0</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213</v>
      </c>
      <c r="M10" s="659">
        <f>-SUMIFS(BV_Data_An_Cour!$AN:$AN,BV_Data_An_Cour!$AO:$AO,$Y10)</f>
        <v>101196.01</v>
      </c>
      <c r="N10" s="1038">
        <f t="shared" si="4"/>
        <v>0.66999192952370357</v>
      </c>
      <c r="O10" s="997">
        <f>-SUMIFS(BV_Data_An_Cour!$AN:$AN,BV_Data_An_Cour!$AO:$AO,$Y10)-SUMIFS(BV_Data_An_Cour!$AN:$AN,BV_Data_An_Cour!$AO:$AO,$Z10)</f>
        <v>67800.509999999995</v>
      </c>
      <c r="P10" s="1039">
        <f t="shared" si="0"/>
        <v>0</v>
      </c>
      <c r="Q10" s="997">
        <f t="shared" si="1"/>
        <v>67800.509999999995</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67800.509999999995</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219</v>
      </c>
      <c r="M12" s="659">
        <f>-SUMIFS(BV_Data_An_Cour!$AN:$AN,BV_Data_An_Cour!$AO:$AO,$Y12)</f>
        <v>463873.62</v>
      </c>
      <c r="N12" s="1038">
        <f t="shared" si="4"/>
        <v>0.22182850147848462</v>
      </c>
      <c r="O12" s="997">
        <f>-SUMIFS(BV_Data_An_Cour!$AN:$AN,BV_Data_An_Cour!$AO:$AO,$Y12)-SUMIFS(BV_Data_An_Cour!$AN:$AN,BV_Data_An_Cour!$AO:$AO,$Z12)</f>
        <v>102900.39000000001</v>
      </c>
      <c r="P12" s="1003">
        <f t="shared" si="0"/>
        <v>0</v>
      </c>
      <c r="Q12" s="1004">
        <f t="shared" si="1"/>
        <v>102900.39000000001</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102900.39000000001</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838691.2</v>
      </c>
      <c r="N13" s="1009">
        <f>O13/M13</f>
        <v>0.4017201682812459</v>
      </c>
      <c r="O13" s="1008">
        <f>SUM(O6:O12)</f>
        <v>336919.17000000004</v>
      </c>
      <c r="P13" s="1012">
        <f>IFERROR((M13-E13)/E13,0)</f>
        <v>0</v>
      </c>
      <c r="Q13" s="1013">
        <f>O13-G13</f>
        <v>336919.17000000004</v>
      </c>
      <c r="R13" s="1011"/>
      <c r="S13" s="1008">
        <f>SUM(S6:S12)</f>
        <v>0</v>
      </c>
      <c r="T13" s="1009" t="e">
        <f>U13/S13</f>
        <v>#DIV/0!</v>
      </c>
      <c r="U13" s="1008">
        <f>SUM(U6:U12)</f>
        <v>0</v>
      </c>
      <c r="V13" s="1012">
        <f>IF(R13=0,0,L13/R13)</f>
        <v>0</v>
      </c>
      <c r="W13" s="1013">
        <f>O13-U13</f>
        <v>336919.17000000004</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29</v>
      </c>
      <c r="M15" s="659">
        <f>-SUMIFS(BV_Data_An_Cour!$AN:$AN,BV_Data_An_Cour!$AO:$AO,$Y15)</f>
        <v>19405.900000000001</v>
      </c>
      <c r="N15" s="1038">
        <f>IFERROR(O15/M15,0)</f>
        <v>0.49566832767354263</v>
      </c>
      <c r="O15" s="997">
        <f>-SUMIFS(BV_Data_An_Cour!$AN:$AN,BV_Data_An_Cour!$AO:$AO,$Y15)-SUMIFS(BV_Data_An_Cour!$AN:$AN,BV_Data_An_Cour!$AO:$AO,$Z15)</f>
        <v>9618.8900000000012</v>
      </c>
      <c r="P15" s="1039">
        <f t="shared" ref="P15:P22" si="6">IFERROR((M15-E15)/E15,0)</f>
        <v>0</v>
      </c>
      <c r="Q15" s="997">
        <f t="shared" ref="Q15:Q22" si="7">O15-G15</f>
        <v>9618.8900000000012</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9618.8900000000012</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2</v>
      </c>
      <c r="M22" s="659">
        <f>-SUMIFS(BV_Data_An_Cour!$AN:$AN,BV_Data_An_Cour!$AO:$AO,$Y22)</f>
        <v>540.79999999999995</v>
      </c>
      <c r="N22" s="1038">
        <f t="shared" si="10"/>
        <v>0.52938239644970408</v>
      </c>
      <c r="O22" s="997">
        <f>-SUMIFS(BV_Data_An_Cour!$AN:$AN,BV_Data_An_Cour!$AO:$AO,$Y22)-SUMIFS(BV_Data_An_Cour!$AN:$AN,BV_Data_An_Cour!$AO:$AO,$Z22)</f>
        <v>286.28999999999996</v>
      </c>
      <c r="P22" s="1003">
        <f t="shared" si="6"/>
        <v>0</v>
      </c>
      <c r="Q22" s="1004">
        <f t="shared" si="7"/>
        <v>286.28999999999996</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286.28999999999996</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19946.7</v>
      </c>
      <c r="N23" s="1009">
        <f>O23/M23</f>
        <v>0.49658239207487953</v>
      </c>
      <c r="O23" s="1008">
        <f>SUM(O15:O22)</f>
        <v>9905.18</v>
      </c>
      <c r="P23" s="1012">
        <f>IFERROR((M23-E23)/E23,0)</f>
        <v>0</v>
      </c>
      <c r="Q23" s="1013">
        <f>O23-G23</f>
        <v>9905.18</v>
      </c>
      <c r="R23" s="1011"/>
      <c r="S23" s="1008">
        <f>SUM(S15:S22)</f>
        <v>0</v>
      </c>
      <c r="T23" s="1009" t="e">
        <f>U23/S23</f>
        <v>#DIV/0!</v>
      </c>
      <c r="U23" s="1008">
        <f>SUM(U15:U22)</f>
        <v>0</v>
      </c>
      <c r="V23" s="1012">
        <f>IF(R23=0,0,L23/R23)</f>
        <v>0</v>
      </c>
      <c r="W23" s="1013">
        <f>O23-U23</f>
        <v>9905.18</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-2831.34</v>
      </c>
      <c r="P35" s="1015"/>
      <c r="Q35" s="1016"/>
      <c r="R35" s="994"/>
      <c r="S35" s="659"/>
      <c r="T35" s="1044"/>
      <c r="U35" s="997">
        <f>-SUMIFS(BV_Data_An_Prec!$AN:$AN,BV_Data_An_Prec!$AO:$AO,$Y35)-SUMIFS(BV_Data_An_Prec!$AN:$AN,BV_Data_An_Prec!$AO:$AO,$Z35)</f>
        <v>0</v>
      </c>
      <c r="V35" s="1015"/>
      <c r="W35" s="1017">
        <f t="shared" ref="W35" si="18">O35-U35</f>
        <v>-2831.34</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858637.89999999991</v>
      </c>
      <c r="N37" s="1020">
        <f>O37/M37</f>
        <v>0.40062639909093234</v>
      </c>
      <c r="O37" s="1045">
        <f>O23+O33+O13+O35</f>
        <v>343993.01</v>
      </c>
      <c r="P37" s="1022">
        <f>O38-G38</f>
        <v>0.40062639909093234</v>
      </c>
      <c r="Q37" s="1045">
        <f>O37-G37</f>
        <v>343993.01</v>
      </c>
      <c r="R37" s="1021"/>
      <c r="S37" s="1019">
        <f>S23+S33+S13</f>
        <v>0</v>
      </c>
      <c r="T37" s="1020" t="e">
        <f>U37/S37</f>
        <v>#DIV/0!</v>
      </c>
      <c r="U37" s="1045">
        <f>U23+U33+U13+U35</f>
        <v>0</v>
      </c>
      <c r="V37" s="1023">
        <f>O38-U38</f>
        <v>0.40062639909093234</v>
      </c>
      <c r="W37" s="1045">
        <f>O37-U37</f>
        <v>343993.01</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0.40062639909093234</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17941.430000000051</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zoomScale="80" zoomScaleNormal="80" workbookViewId="0">
      <selection activeCell="N2" sqref="N2"/>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264066.34999999998</v>
      </c>
      <c r="AM3" s="905">
        <f>AN3-AL3</f>
        <v>72231.160000000033</v>
      </c>
      <c r="AN3" s="905">
        <f>INDEX(G3:R3,1,MATCH(Parametres!$B$3,G$1:R$1,0))*IF(OR(F3="L",F3="S",F3="I"),-1,1)</f>
        <v>336297.51</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21030.81</v>
      </c>
      <c r="AM4" s="905">
        <f t="shared" ref="AM4:AM67" si="2">AN4-AL4</f>
        <v>2787.239999999998</v>
      </c>
      <c r="AN4" s="905">
        <f>INDEX(G4:R4,1,MATCH(Parametres!$B$3,G$1:R$1,0))*IF(OR(F4="L",F4="S",F4="I"),-1,1)</f>
        <v>23818.05</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-2789</v>
      </c>
      <c r="AM6" s="905">
        <f t="shared" si="2"/>
        <v>-5329.71</v>
      </c>
      <c r="AN6" s="905">
        <f>INDEX(G6:R6,1,MATCH(Parametres!$B$3,G$1:R$1,0))*IF(OR(F6="L",F6="S",F6="I"),-1,1)</f>
        <v>-8118.71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2994.98</v>
      </c>
      <c r="AM7" s="905">
        <f t="shared" si="2"/>
        <v>2233.0099999999998</v>
      </c>
      <c r="AN7" s="905">
        <f>INDEX(G7:R7,1,MATCH(Parametres!$B$3,G$1:R$1,0))*IF(OR(F7="L",F7="S",F7="I"),-1,1)</f>
        <v>5227.99</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5464.25</v>
      </c>
      <c r="AM8" s="905">
        <f t="shared" si="2"/>
        <v>0</v>
      </c>
      <c r="AN8" s="905">
        <f>INDEX(G8:R8,1,MATCH(Parametres!$B$3,G$1:R$1,0))*IF(OR(F8="L",F8="S",F8="I"),-1,1)</f>
        <v>5464.25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1965.31</v>
      </c>
      <c r="AM9" s="905">
        <f t="shared" si="2"/>
        <v>89.970000000000255</v>
      </c>
      <c r="AN9" s="905">
        <f>INDEX(G9:R9,1,MATCH(Parametres!$B$3,G$1:R$1,0))*IF(OR(F9="L",F9="S",F9="I"),-1,1)</f>
        <v>2055.2800000000002</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530.62</v>
      </c>
      <c r="AM10" s="905">
        <f t="shared" si="2"/>
        <v>0</v>
      </c>
      <c r="AN10" s="905">
        <f>INDEX(G10:R10,1,MATCH(Parametres!$B$3,G$1:R$1,0))*IF(OR(F10="L",F10="S",F10="I"),-1,1)</f>
        <v>530.62</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20625.41</v>
      </c>
      <c r="AM13" s="905">
        <f t="shared" si="2"/>
        <v>62543.199999999997</v>
      </c>
      <c r="AN13" s="905">
        <f>INDEX(G13:R13,1,MATCH(Parametres!$B$3,G$1:R$1,0))*IF(OR(F13="L",F13="S",F13="I"),-1,1)</f>
        <v>83168.61</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13750.3</v>
      </c>
      <c r="AM14" s="905">
        <f t="shared" si="2"/>
        <v>41695.47</v>
      </c>
      <c r="AN14" s="905">
        <f>INDEX(G14:R14,1,MATCH(Parametres!$B$3,G$1:R$1,0))*IF(OR(F14="L",F14="S",F14="I"),-1,1)</f>
        <v>55445.77</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20625.41</v>
      </c>
      <c r="AM15" s="905">
        <f t="shared" si="2"/>
        <v>62543.199999999997</v>
      </c>
      <c r="AN15" s="905">
        <f>INDEX(G15:R15,1,MATCH(Parametres!$B$3,G$1:R$1,0))*IF(OR(F15="L",F15="S",F15="I"),-1,1)</f>
        <v>83168.61</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6875.14</v>
      </c>
      <c r="AM16" s="905">
        <f t="shared" si="2"/>
        <v>20847.73</v>
      </c>
      <c r="AN16" s="905">
        <f>INDEX(G16:R16,1,MATCH(Parametres!$B$3,G$1:R$1,0))*IF(OR(F16="L",F16="S",F16="I"),-1,1)</f>
        <v>27722.87</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6875.12</v>
      </c>
      <c r="AM17" s="905">
        <f t="shared" si="2"/>
        <v>20847.75</v>
      </c>
      <c r="AN17" s="905">
        <f>INDEX(G17:R17,1,MATCH(Parametres!$B$3,G$1:R$1,0))*IF(OR(F17="L",F17="S",F17="I"),-1,1)</f>
        <v>27722.87</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85134.1</v>
      </c>
      <c r="AM19" s="905">
        <f t="shared" si="2"/>
        <v>15314.929999999993</v>
      </c>
      <c r="AN19" s="905">
        <f>INDEX(G19:R19,1,MATCH(Parametres!$B$3,G$1:R$1,0))*IF(OR(F19="L",F19="S",F19="I"),-1,1)</f>
        <v>100449.03</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56983.34</v>
      </c>
      <c r="AM20" s="905">
        <f t="shared" si="2"/>
        <v>9483.9499999999971</v>
      </c>
      <c r="AN20" s="905">
        <f>INDEX(G20:R20,1,MATCH(Parametres!$B$3,G$1:R$1,0))*IF(OR(F20="L",F20="S",F20="I"),-1,1)</f>
        <v>66467.289999999994</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383851.35</v>
      </c>
      <c r="AM21" s="905">
        <f t="shared" si="2"/>
        <v>-57273.609999999986</v>
      </c>
      <c r="AN21" s="905">
        <f>INDEX(G21:R21,1,MATCH(Parametres!$B$3,G$1:R$1,0))*IF(OR(F21="L",F21="S",F21="I"),-1,1)</f>
        <v>326577.74</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44663.13</v>
      </c>
      <c r="AM22" s="905">
        <f t="shared" si="2"/>
        <v>7473.9599999999991</v>
      </c>
      <c r="AN22" s="905">
        <f>INDEX(G22:R22,1,MATCH(Parametres!$B$3,G$1:R$1,0))*IF(OR(F22="L",F22="S",F22="I"),-1,1)</f>
        <v>52137.09</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44257.919999999998</v>
      </c>
      <c r="AM23" s="905">
        <f t="shared" si="2"/>
        <v>8225.8400000000038</v>
      </c>
      <c r="AN23" s="905">
        <f>INDEX(G23:R23,1,MATCH(Parametres!$B$3,G$1:R$1,0))*IF(OR(F23="L",F23="S",F23="I"),-1,1)</f>
        <v>52483.76</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19702.47</v>
      </c>
      <c r="AM24" s="905">
        <f t="shared" si="2"/>
        <v>1720.0499999999993</v>
      </c>
      <c r="AN24" s="905">
        <f>INDEX(G24:R24,1,MATCH(Parametres!$B$3,G$1:R$1,0))*IF(OR(F24="L",F24="S",F24="I"),-1,1)</f>
        <v>21422.52</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115577.05</v>
      </c>
      <c r="AM26" s="905">
        <f t="shared" si="2"/>
        <v>28653.08</v>
      </c>
      <c r="AN26" s="905">
        <f>INDEX(G26:R26,1,MATCH(Parametres!$B$3,G$1:R$1,0))*IF(OR(F26="L",F26="S",F26="I"),-1,1)</f>
        <v>144230.13</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22342.78</v>
      </c>
      <c r="AM27" s="905">
        <f t="shared" si="2"/>
        <v>5051.5</v>
      </c>
      <c r="AN27" s="905">
        <f>INDEX(G27:R27,1,MATCH(Parametres!$B$3,G$1:R$1,0))*IF(OR(F27="L",F27="S",F27="I"),-1,1)</f>
        <v>27394.28</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52764.7</v>
      </c>
      <c r="AM28" s="905">
        <f t="shared" si="2"/>
        <v>12686.980000000003</v>
      </c>
      <c r="AN28" s="905">
        <f>INDEX(G28:R28,1,MATCH(Parametres!$B$3,G$1:R$1,0))*IF(OR(F28="L",F28="S",F28="I"),-1,1)</f>
        <v>65451.68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128720.87</v>
      </c>
      <c r="AM29" s="905">
        <f t="shared" si="2"/>
        <v>24696.190000000002</v>
      </c>
      <c r="AN29" s="905">
        <f>INDEX(G29:R29,1,MATCH(Parametres!$B$3,G$1:R$1,0))*IF(OR(F29="L",F29="S",F29="I"),-1,1)</f>
        <v>153417.06</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40246.51</v>
      </c>
      <c r="AM30" s="905">
        <f t="shared" si="2"/>
        <v>6344.6100000000006</v>
      </c>
      <c r="AN30" s="905">
        <f>INDEX(G30:R30,1,MATCH(Parametres!$B$3,G$1:R$1,0))*IF(OR(F30="L",F30="S",F30="I"),-1,1)</f>
        <v>46591.12</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11104.59</v>
      </c>
      <c r="AM31" s="905">
        <f t="shared" si="2"/>
        <v>2768.5</v>
      </c>
      <c r="AN31" s="905">
        <f>INDEX(G31:R31,1,MATCH(Parametres!$B$3,G$1:R$1,0))*IF(OR(F31="L",F31="S",F31="I"),-1,1)</f>
        <v>13873.09</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16765.099999999999</v>
      </c>
      <c r="AM33" s="905">
        <f t="shared" si="2"/>
        <v>512</v>
      </c>
      <c r="AN33" s="905">
        <f>INDEX(G33:R33,1,MATCH(Parametres!$B$3,G$1:R$1,0))*IF(OR(F33="L",F33="S",F33="I"),-1,1)</f>
        <v>17277.099999999999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8520.24</v>
      </c>
      <c r="AM34" s="905">
        <f t="shared" si="2"/>
        <v>4544.8600000000006</v>
      </c>
      <c r="AN34" s="905">
        <f>INDEX(G34:R34,1,MATCH(Parametres!$B$3,G$1:R$1,0))*IF(OR(F34="L",F34="S",F34="I"),-1,1)</f>
        <v>13065.1</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200991.24</v>
      </c>
      <c r="AM35" s="905">
        <f t="shared" si="2"/>
        <v>33648.75</v>
      </c>
      <c r="AN35" s="905">
        <f>INDEX(G35:R35,1,MATCH(Parametres!$B$3,G$1:R$1,0))*IF(OR(F35="L",F35="S",F35="I"),-1,1)</f>
        <v>234639.99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137895.88</v>
      </c>
      <c r="AM36" s="905">
        <f t="shared" si="2"/>
        <v>30028.260000000009</v>
      </c>
      <c r="AN36" s="905">
        <f>INDEX(G36:R36,1,MATCH(Parametres!$B$3,G$1:R$1,0))*IF(OR(F36="L",F36="S",F36="I"),-1,1)</f>
        <v>167924.14</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0</v>
      </c>
      <c r="AM37" s="905">
        <f t="shared" si="2"/>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76968.100000000006</v>
      </c>
      <c r="AM38" s="905">
        <f t="shared" si="2"/>
        <v>18762.459999999992</v>
      </c>
      <c r="AN38" s="905">
        <f>INDEX(G38:R38,1,MATCH(Parametres!$B$3,G$1:R$1,0))*IF(OR(F38="L",F38="S",F38="I"),-1,1)</f>
        <v>95730.559999999998</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56455.73</v>
      </c>
      <c r="AM40" s="905">
        <f t="shared" si="2"/>
        <v>16033.969999999994</v>
      </c>
      <c r="AN40" s="905">
        <f>INDEX(G40:R40,1,MATCH(Parametres!$B$3,G$1:R$1,0))*IF(OR(F40="L",F40="S",F40="I"),-1,1)</f>
        <v>72489.7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5255.5</v>
      </c>
      <c r="AM41" s="905">
        <f t="shared" si="2"/>
        <v>1468.33</v>
      </c>
      <c r="AN41" s="905">
        <f>INDEX(G41:R41,1,MATCH(Parametres!$B$3,G$1:R$1,0))*IF(OR(F41="L",F41="S",F41="I"),-1,1)</f>
        <v>6723.83</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12901.13</v>
      </c>
      <c r="AM42" s="905">
        <f t="shared" si="2"/>
        <v>2494.6800000000003</v>
      </c>
      <c r="AN42" s="905">
        <f>INDEX(G42:R42,1,MATCH(Parametres!$B$3,G$1:R$1,0))*IF(OR(F42="L",F42="S",F42="I"),-1,1)</f>
        <v>15395.81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80958.81</v>
      </c>
      <c r="AM43" s="905">
        <f t="shared" si="2"/>
        <v>16414.25</v>
      </c>
      <c r="AN43" s="905">
        <f>INDEX(G43:R43,1,MATCH(Parametres!$B$3,G$1:R$1,0))*IF(OR(F43="L",F43="S",F43="I"),-1,1)</f>
        <v>97373.06</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18633.95</v>
      </c>
      <c r="AM44" s="905">
        <f t="shared" si="2"/>
        <v>3186.6800000000003</v>
      </c>
      <c r="AN44" s="905">
        <f>INDEX(G44:R44,1,MATCH(Parametres!$B$3,G$1:R$1,0))*IF(OR(F44="L",F44="S",F44="I"),-1,1)</f>
        <v>21820.63</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11391.25</v>
      </c>
      <c r="AM45" s="905">
        <f t="shared" si="2"/>
        <v>2514.9500000000007</v>
      </c>
      <c r="AN45" s="905">
        <f>INDEX(G45:R45,1,MATCH(Parametres!$B$3,G$1:R$1,0))*IF(OR(F45="L",F45="S",F45="I"),-1,1)</f>
        <v>13906.2</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97212.27</v>
      </c>
      <c r="AM47" s="905">
        <f t="shared" si="2"/>
        <v>20776.449999999997</v>
      </c>
      <c r="AN47" s="905">
        <f>INDEX(G47:R47,1,MATCH(Parametres!$B$3,G$1:R$1,0))*IF(OR(F47="L",F47="S",F47="I"),-1,1)</f>
        <v>117988.72</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11478.64</v>
      </c>
      <c r="AM48" s="905">
        <f t="shared" si="2"/>
        <v>1863.3700000000008</v>
      </c>
      <c r="AN48" s="905">
        <f>INDEX(G48:R48,1,MATCH(Parametres!$B$3,G$1:R$1,0))*IF(OR(F48="L",F48="S",F48="I"),-1,1)</f>
        <v>13342.01</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21426.61</v>
      </c>
      <c r="AM49" s="905">
        <f t="shared" si="2"/>
        <v>2841.66</v>
      </c>
      <c r="AN49" s="905">
        <f>INDEX(G49:R49,1,MATCH(Parametres!$B$3,G$1:R$1,0))*IF(OR(F49="L",F49="S",F49="I"),-1,1)</f>
        <v>24268.27</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96576.76</v>
      </c>
      <c r="AM50" s="905">
        <f t="shared" si="2"/>
        <v>18599.5</v>
      </c>
      <c r="AN50" s="905">
        <f>INDEX(G50:R50,1,MATCH(Parametres!$B$3,G$1:R$1,0))*IF(OR(F50="L",F50="S",F50="I"),-1,1)</f>
        <v>115176.26</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21640.47</v>
      </c>
      <c r="AM51" s="905">
        <f t="shared" si="2"/>
        <v>3851.1299999999974</v>
      </c>
      <c r="AN51" s="905">
        <f>INDEX(G51:R51,1,MATCH(Parametres!$B$3,G$1:R$1,0))*IF(OR(F51="L",F51="S",F51="I"),-1,1)</f>
        <v>25491.599999999999</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16074.72</v>
      </c>
      <c r="AM52" s="905">
        <f t="shared" si="2"/>
        <v>2960.4300000000021</v>
      </c>
      <c r="AN52" s="905">
        <f>INDEX(G52:R52,1,MATCH(Parametres!$B$3,G$1:R$1,0))*IF(OR(F52="L",F52="S",F52="I"),-1,1)</f>
        <v>19035.150000000001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27887.57</v>
      </c>
      <c r="AM54" s="905">
        <f t="shared" si="2"/>
        <v>5144.7200000000012</v>
      </c>
      <c r="AN54" s="905">
        <f>INDEX(G54:R54,1,MATCH(Parametres!$B$3,G$1:R$1,0))*IF(OR(F54="L",F54="S",F54="I"),-1,1)</f>
        <v>33032.29</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13230.66</v>
      </c>
      <c r="AM55" s="905">
        <f t="shared" si="2"/>
        <v>2074.58</v>
      </c>
      <c r="AN55" s="905">
        <f>INDEX(G55:R55,1,MATCH(Parametres!$B$3,G$1:R$1,0))*IF(OR(F55="L",F55="S",F55="I"),-1,1)</f>
        <v>15305.24</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8193.39</v>
      </c>
      <c r="AM56" s="905">
        <f t="shared" si="2"/>
        <v>6711.51</v>
      </c>
      <c r="AN56" s="905">
        <f>INDEX(G56:R56,1,MATCH(Parametres!$B$3,G$1:R$1,0))*IF(OR(F56="L",F56="S",F56="I"),-1,1)</f>
        <v>14904.9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54377.19</v>
      </c>
      <c r="AM57" s="905">
        <f t="shared" si="2"/>
        <v>10569.369999999995</v>
      </c>
      <c r="AN57" s="905">
        <f>INDEX(G57:R57,1,MATCH(Parametres!$B$3,G$1:R$1,0))*IF(OR(F57="L",F57="S",F57="I"),-1,1)</f>
        <v>64946.559999999998</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13434.02</v>
      </c>
      <c r="AM58" s="905">
        <f t="shared" si="2"/>
        <v>2636.1499999999996</v>
      </c>
      <c r="AN58" s="905">
        <f>INDEX(G58:R58,1,MATCH(Parametres!$B$3,G$1:R$1,0))*IF(OR(F58="L",F58="S",F58="I"),-1,1)</f>
        <v>16070.17</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8101.27</v>
      </c>
      <c r="AM59" s="905">
        <f t="shared" si="2"/>
        <v>1395.4099999999999</v>
      </c>
      <c r="AN59" s="905">
        <f>INDEX(G59:R59,1,MATCH(Parametres!$B$3,G$1:R$1,0))*IF(OR(F59="L",F59="S",F59="I"),-1,1)</f>
        <v>9496.68</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729.32</v>
      </c>
      <c r="AM62" s="905">
        <f t="shared" si="2"/>
        <v>22.409999999999968</v>
      </c>
      <c r="AN62" s="905">
        <f>INDEX(G62:R62,1,MATCH(Parametres!$B$3,G$1:R$1,0))*IF(OR(F62="L",F62="S",F62="I"),-1,1)</f>
        <v>751.73</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130.83000000000001</v>
      </c>
      <c r="AM63" s="905">
        <f t="shared" si="2"/>
        <v>20.799999999999983</v>
      </c>
      <c r="AN63" s="905">
        <f>INDEX(G63:R63,1,MATCH(Parametres!$B$3,G$1:R$1,0))*IF(OR(F63="L",F63="S",F63="I"),-1,1)</f>
        <v>151.63</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5490.76</v>
      </c>
      <c r="AM65" s="905">
        <f t="shared" si="2"/>
        <v>968.47999999999956</v>
      </c>
      <c r="AN65" s="905">
        <f>INDEX(G65:R65,1,MATCH(Parametres!$B$3,G$1:R$1,0))*IF(OR(F65="L",F65="S",F65="I"),-1,1)</f>
        <v>6459.24</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194.69</v>
      </c>
      <c r="AM66" s="905">
        <f t="shared" si="2"/>
        <v>37.159999999999997</v>
      </c>
      <c r="AN66" s="905">
        <f>INDEX(G66:R66,1,MATCH(Parametres!$B$3,G$1:R$1,0))*IF(OR(F66="L",F66="S",F66="I"),-1,1)</f>
        <v>231.85</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1162.6300000000001</v>
      </c>
      <c r="AM67" s="905">
        <f t="shared" si="2"/>
        <v>159.90999999999985</v>
      </c>
      <c r="AN67" s="905">
        <f>INDEX(G67:R67,1,MATCH(Parametres!$B$3,G$1:R$1,0))*IF(OR(F67="L",F67="S",F67="I"),-1,1)</f>
        <v>1322.54</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3679.48</v>
      </c>
      <c r="AM71" s="905">
        <f t="shared" si="8"/>
        <v>1264.19</v>
      </c>
      <c r="AN71" s="905">
        <f>INDEX(G71:R71,1,MATCH(Parametres!$B$3,G$1:R$1,0))*IF(OR(F71="L",F71="S",F71="I"),-1,1)</f>
        <v>4943.67</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4571.4799999999996</v>
      </c>
      <c r="AM72" s="905">
        <f t="shared" si="8"/>
        <v>1044.3700000000008</v>
      </c>
      <c r="AN72" s="905">
        <f>INDEX(G72:R72,1,MATCH(Parametres!$B$3,G$1:R$1,0))*IF(OR(F72="L",F72="S",F72="I"),-1,1)</f>
        <v>5615.85</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5023.55</v>
      </c>
      <c r="AM73" s="905">
        <f t="shared" si="8"/>
        <v>41.979999999999563</v>
      </c>
      <c r="AN73" s="905">
        <f>INDEX(G73:R73,1,MATCH(Parametres!$B$3,G$1:R$1,0))*IF(OR(F73="L",F73="S",F73="I"),-1,1)</f>
        <v>5065.53</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2456.9899999999998</v>
      </c>
      <c r="AM74" s="905">
        <f t="shared" si="8"/>
        <v>864.15000000000009</v>
      </c>
      <c r="AN74" s="905">
        <f>INDEX(G74:R74,1,MATCH(Parametres!$B$3,G$1:R$1,0))*IF(OR(F74="L",F74="S",F74="I"),-1,1)</f>
        <v>3321.14</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1213.07</v>
      </c>
      <c r="AM75" s="905">
        <f t="shared" si="8"/>
        <v>288.04999999999995</v>
      </c>
      <c r="AN75" s="905">
        <f>INDEX(G75:R75,1,MATCH(Parametres!$B$3,G$1:R$1,0))*IF(OR(F75="L",F75="S",F75="I"),-1,1)</f>
        <v>1501.12</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2979.84</v>
      </c>
      <c r="AM76" s="905">
        <f t="shared" si="8"/>
        <v>331.27</v>
      </c>
      <c r="AN76" s="905">
        <f>INDEX(G76:R76,1,MATCH(Parametres!$B$3,G$1:R$1,0))*IF(OR(F76="L",F76="S",F76="I"),-1,1)</f>
        <v>3311.11</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63424.18</v>
      </c>
      <c r="AM78" s="905">
        <f t="shared" si="8"/>
        <v>10868.730000000003</v>
      </c>
      <c r="AN78" s="905">
        <f>INDEX(G78:R78,1,MATCH(Parametres!$B$3,G$1:R$1,0))*IF(OR(F78="L",F78="S",F78="I"),-1,1)</f>
        <v>74292.91</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10133.879999999999</v>
      </c>
      <c r="AM79" s="905">
        <f t="shared" si="8"/>
        <v>1177.8500000000004</v>
      </c>
      <c r="AN79" s="905">
        <f>INDEX(G79:R79,1,MATCH(Parametres!$B$3,G$1:R$1,0))*IF(OR(F79="L",F79="S",F79="I"),-1,1)</f>
        <v>11311.73</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-42443.040000000001</v>
      </c>
      <c r="AM81" s="905">
        <f t="shared" si="8"/>
        <v>-13474.449999999997</v>
      </c>
      <c r="AN81" s="905">
        <f>INDEX(G81:R81,1,MATCH(Parametres!$B$3,G$1:R$1,0))*IF(OR(F81="L",F81="S",F81="I"),-1,1)</f>
        <v>-55917.49</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-1806.12</v>
      </c>
      <c r="AM82" s="905">
        <f t="shared" si="8"/>
        <v>-3170.9800000000005</v>
      </c>
      <c r="AN82" s="905">
        <f>INDEX(G82:R82,1,MATCH(Parametres!$B$3,G$1:R$1,0))*IF(OR(F82="L",F82="S",F82="I"),-1,1)</f>
        <v>-4977.1000000000004</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15716.11</v>
      </c>
      <c r="AM83" s="905">
        <f t="shared" si="8"/>
        <v>1326.7200000000012</v>
      </c>
      <c r="AN83" s="905">
        <f>INDEX(G83:R83,1,MATCH(Parametres!$B$3,G$1:R$1,0))*IF(OR(F83="L",F83="S",F83="I"),-1,1)</f>
        <v>17042.830000000002</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1922.84</v>
      </c>
      <c r="AM93" s="905">
        <f t="shared" si="8"/>
        <v>278.29000000000019</v>
      </c>
      <c r="AN93" s="905">
        <f>INDEX(G93:R93,1,MATCH(Parametres!$B$3,G$1:R$1,0))*IF(OR(F93="L",F93="S",F93="I"),-1,1)</f>
        <v>2201.13</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1277.58</v>
      </c>
      <c r="AM94" s="905">
        <f t="shared" si="8"/>
        <v>185.51999999999998</v>
      </c>
      <c r="AN94" s="905">
        <f>INDEX(G94:R94,1,MATCH(Parametres!$B$3,G$1:R$1,0))*IF(OR(F94="L",F94="S",F94="I"),-1,1)</f>
        <v>1463.1</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1850.66</v>
      </c>
      <c r="AM96" s="905">
        <f t="shared" si="8"/>
        <v>301.3900000000001</v>
      </c>
      <c r="AN96" s="905">
        <f>INDEX(G96:R96,1,MATCH(Parametres!$B$3,G$1:R$1,0))*IF(OR(F96="L",F96="S",F96="I"),-1,1)</f>
        <v>2152.0500000000002</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586.28</v>
      </c>
      <c r="AM97" s="905">
        <f t="shared" si="8"/>
        <v>92.759999999999991</v>
      </c>
      <c r="AN97" s="905">
        <f>INDEX(G97:R97,1,MATCH(Parametres!$B$3,G$1:R$1,0))*IF(OR(F97="L",F97="S",F97="I"),-1,1)</f>
        <v>679.04</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586.29</v>
      </c>
      <c r="AM98" s="905">
        <f t="shared" si="8"/>
        <v>92.759999999999991</v>
      </c>
      <c r="AN98" s="905">
        <f>INDEX(G98:R98,1,MATCH(Parametres!$B$3,G$1:R$1,0))*IF(OR(F98="L",F98="S",F98="I"),-1,1)</f>
        <v>679.05</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11011.09</v>
      </c>
      <c r="AM100" s="905">
        <f t="shared" si="8"/>
        <v>3089.1000000000004</v>
      </c>
      <c r="AN100" s="905">
        <f>INDEX(G100:R100,1,MATCH(Parametres!$B$3,G$1:R$1,0))*IF(OR(F100="L",F100="S",F100="I"),-1,1)</f>
        <v>14100.19</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3521.18</v>
      </c>
      <c r="AM101" s="905">
        <f t="shared" si="8"/>
        <v>976.88000000000056</v>
      </c>
      <c r="AN101" s="905">
        <f>INDEX(G101:R101,1,MATCH(Parametres!$B$3,G$1:R$1,0))*IF(OR(F101="L",F101="S",F101="I"),-1,1)</f>
        <v>4498.0600000000004</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1531.37</v>
      </c>
      <c r="AM102" s="905">
        <f t="shared" si="8"/>
        <v>0</v>
      </c>
      <c r="AN102" s="905">
        <f>INDEX(G102:R102,1,MATCH(Parametres!$B$3,G$1:R$1,0))*IF(OR(F102="L",F102="S",F102="I"),-1,1)</f>
        <v>1531.37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7192.96</v>
      </c>
      <c r="AM103" s="905">
        <f t="shared" si="8"/>
        <v>1465.3000000000002</v>
      </c>
      <c r="AN103" s="905">
        <f>INDEX(G103:R103,1,MATCH(Parametres!$B$3,G$1:R$1,0))*IF(OR(F103="L",F103="S",F103="I"),-1,1)</f>
        <v>8658.26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3215.23</v>
      </c>
      <c r="AM104" s="905">
        <f t="shared" si="8"/>
        <v>488.44999999999982</v>
      </c>
      <c r="AN104" s="905">
        <f>INDEX(G104:R104,1,MATCH(Parametres!$B$3,G$1:R$1,0))*IF(OR(F104="L",F104="S",F104="I"),-1,1)</f>
        <v>3703.68</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2171.89</v>
      </c>
      <c r="AM105" s="905">
        <f t="shared" si="8"/>
        <v>488.38000000000011</v>
      </c>
      <c r="AN105" s="905">
        <f>INDEX(G105:R105,1,MATCH(Parametres!$B$3,G$1:R$1,0))*IF(OR(F105="L",F105="S",F105="I"),-1,1)</f>
        <v>2660.27</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2517.0700000000002</v>
      </c>
      <c r="AM107" s="905">
        <f t="shared" si="8"/>
        <v>1499.5699999999997</v>
      </c>
      <c r="AN107" s="905">
        <f>INDEX(G107:R107,1,MATCH(Parametres!$B$3,G$1:R$1,0))*IF(OR(F107="L",F107="S",F107="I"),-1,1)</f>
        <v>4016.64</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717.11</v>
      </c>
      <c r="AM108" s="905">
        <f t="shared" si="8"/>
        <v>124.94999999999993</v>
      </c>
      <c r="AN108" s="905">
        <f>INDEX(G108:R108,1,MATCH(Parametres!$B$3,G$1:R$1,0))*IF(OR(F108="L",F108="S",F108="I"),-1,1)</f>
        <v>842.06</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28168.54</v>
      </c>
      <c r="AM110" s="905">
        <f t="shared" si="8"/>
        <v>-1664.0200000000004</v>
      </c>
      <c r="AN110" s="905">
        <f>INDEX(G110:R110,1,MATCH(Parametres!$B$3,G$1:R$1,0))*IF(OR(F110="L",F110="S",F110="I"),-1,1)</f>
        <v>26504.52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7362.58</v>
      </c>
      <c r="AM111" s="905">
        <f t="shared" si="8"/>
        <v>7933.33</v>
      </c>
      <c r="AN111" s="905">
        <f>INDEX(G111:R111,1,MATCH(Parametres!$B$3,G$1:R$1,0))*IF(OR(F111="L",F111="S",F111="I"),-1,1)</f>
        <v>15295.91</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748.69</v>
      </c>
      <c r="AM112" s="905">
        <f t="shared" si="8"/>
        <v>88.269999999999982</v>
      </c>
      <c r="AN112" s="905">
        <f>INDEX(G112:R112,1,MATCH(Parametres!$B$3,G$1:R$1,0))*IF(OR(F112="L",F112="S",F112="I"),-1,1)</f>
        <v>836.96</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4993.1899999999996</v>
      </c>
      <c r="AM115" s="905">
        <f t="shared" si="8"/>
        <v>1134.0200000000004</v>
      </c>
      <c r="AN115" s="905">
        <f>INDEX(G115:R115,1,MATCH(Parametres!$B$3,G$1:R$1,0))*IF(OR(F115="L",F115="S",F115="I"),-1,1)</f>
        <v>6127.21</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99</v>
      </c>
      <c r="AM116" s="905">
        <f t="shared" si="8"/>
        <v>19.799999999999997</v>
      </c>
      <c r="AN116" s="905">
        <f>INDEX(G116:R116,1,MATCH(Parametres!$B$3,G$1:R$1,0))*IF(OR(F116="L",F116="S",F116="I"),-1,1)</f>
        <v>118.8</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4651.46</v>
      </c>
      <c r="AM118" s="905">
        <f t="shared" si="8"/>
        <v>1074.6199999999999</v>
      </c>
      <c r="AN118" s="905">
        <f>INDEX(G118:R118,1,MATCH(Parametres!$B$3,G$1:R$1,0))*IF(OR(F118="L",F118="S",F118="I"),-1,1)</f>
        <v>5726.08</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24.75</v>
      </c>
      <c r="AM119" s="905">
        <f t="shared" si="8"/>
        <v>4.9499999999999993</v>
      </c>
      <c r="AN119" s="905">
        <f>INDEX(G119:R119,1,MATCH(Parametres!$B$3,G$1:R$1,0))*IF(OR(F119="L",F119="S",F119="I"),-1,1)</f>
        <v>29.7</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4651.4399999999996</v>
      </c>
      <c r="AM120" s="905">
        <f t="shared" si="8"/>
        <v>1074.6100000000006</v>
      </c>
      <c r="AN120" s="905">
        <f>INDEX(G120:R120,1,MATCH(Parametres!$B$3,G$1:R$1,0))*IF(OR(F120="L",F120="S",F120="I"),-1,1)</f>
        <v>5726.05</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-112035</v>
      </c>
      <c r="AM121" s="905">
        <f t="shared" si="8"/>
        <v>-131293</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43377.25</v>
      </c>
      <c r="AM129" s="905">
        <f t="shared" si="8"/>
        <v>12267.68</v>
      </c>
      <c r="AN129" s="905">
        <f>INDEX(G129:R129,1,MATCH(Parametres!$B$3,G$1:R$1,0))*IF(OR(F129="L",F129="S",F129="I"),-1,1)</f>
        <v>55644.93</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21009.66</v>
      </c>
      <c r="AM130" s="905">
        <f t="shared" si="8"/>
        <v>2343.1500000000015</v>
      </c>
      <c r="AN130" s="905">
        <f>INDEX(G130:R130,1,MATCH(Parametres!$B$3,G$1:R$1,0))*IF(OR(F130="L",F130="S",F130="I"),-1,1)</f>
        <v>23352.81</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7767.48</v>
      </c>
      <c r="AM132" s="905">
        <f t="shared" ref="AM132:AM195" si="14">AN132-AL132</f>
        <v>-448.22999999999956</v>
      </c>
      <c r="AN132" s="905">
        <f>INDEX(G132:R132,1,MATCH(Parametres!$B$3,G$1:R$1,0))*IF(OR(F132="L",F132="S",F132="I"),-1,1)</f>
        <v>7319.25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1854.89</v>
      </c>
      <c r="AM133" s="905">
        <f t="shared" si="14"/>
        <v>-209.34000000000015</v>
      </c>
      <c r="AN133" s="905">
        <f>INDEX(G133:R133,1,MATCH(Parametres!$B$3,G$1:R$1,0))*IF(OR(F133="L",F133="S",F133="I"),-1,1)</f>
        <v>1645.55</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1854.81</v>
      </c>
      <c r="AM134" s="905">
        <f t="shared" si="14"/>
        <v>-209.33999999999992</v>
      </c>
      <c r="AN134" s="905">
        <f>INDEX(G134:R134,1,MATCH(Parametres!$B$3,G$1:R$1,0))*IF(OR(F134="L",F134="S",F134="I"),-1,1)</f>
        <v>1645.47</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12089.18</v>
      </c>
      <c r="AM141" s="905">
        <f t="shared" si="14"/>
        <v>465.72999999999956</v>
      </c>
      <c r="AN141" s="905">
        <f>INDEX(G141:R141,1,MATCH(Parametres!$B$3,G$1:R$1,0))*IF(OR(F141="L",F141="S",F141="I"),-1,1)</f>
        <v>12554.91</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8752.1</v>
      </c>
      <c r="AM142" s="905">
        <f t="shared" si="14"/>
        <v>827.69000000000051</v>
      </c>
      <c r="AN142" s="905">
        <f>INDEX(G142:R142,1,MATCH(Parametres!$B$3,G$1:R$1,0))*IF(OR(F142="L",F142="S",F142="I"),-1,1)</f>
        <v>9579.7900000000009</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680.87</v>
      </c>
      <c r="AM143" s="905">
        <f t="shared" si="14"/>
        <v>231.95000000000005</v>
      </c>
      <c r="AN143" s="905">
        <f>INDEX(G143:R143,1,MATCH(Parametres!$B$3,G$1:R$1,0))*IF(OR(F143="L",F143="S",F143="I"),-1,1)</f>
        <v>912.82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20640.37</v>
      </c>
      <c r="AM145" s="905">
        <f t="shared" si="14"/>
        <v>4324.2800000000025</v>
      </c>
      <c r="AN145" s="905">
        <f>INDEX(G145:R145,1,MATCH(Parametres!$B$3,G$1:R$1,0))*IF(OR(F145="L",F145="S",F145="I"),-1,1)</f>
        <v>24964.65</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8852.67</v>
      </c>
      <c r="AM146" s="905">
        <f t="shared" si="14"/>
        <v>2218.5499999999993</v>
      </c>
      <c r="AN146" s="905">
        <f>INDEX(G146:R146,1,MATCH(Parametres!$B$3,G$1:R$1,0))*IF(OR(F146="L",F146="S",F146="I"),-1,1)</f>
        <v>11071.22</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11781.4</v>
      </c>
      <c r="AM148" s="905">
        <f t="shared" si="14"/>
        <v>3074.7900000000009</v>
      </c>
      <c r="AN148" s="905">
        <f>INDEX(G148:R148,1,MATCH(Parametres!$B$3,G$1:R$1,0))*IF(OR(F148="L",F148="S",F148="I"),-1,1)</f>
        <v>14856.19</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8888.7900000000009</v>
      </c>
      <c r="AM149" s="905">
        <f t="shared" si="14"/>
        <v>1374.9299999999985</v>
      </c>
      <c r="AN149" s="905">
        <f>INDEX(G149:R149,1,MATCH(Parametres!$B$3,G$1:R$1,0))*IF(OR(F149="L",F149="S",F149="I"),-1,1)</f>
        <v>10263.719999999999</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8080.76</v>
      </c>
      <c r="AM150" s="905">
        <f t="shared" si="14"/>
        <v>1891.6100000000006</v>
      </c>
      <c r="AN150" s="905">
        <f>INDEX(G150:R150,1,MATCH(Parametres!$B$3,G$1:R$1,0))*IF(OR(F150="L",F150="S",F150="I"),-1,1)</f>
        <v>9972.3700000000008</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20385.599999999999</v>
      </c>
      <c r="AM154" s="905">
        <f t="shared" si="14"/>
        <v>6803.130000000001</v>
      </c>
      <c r="AN154" s="905">
        <f>INDEX(G154:R154,1,MATCH(Parametres!$B$3,G$1:R$1,0))*IF(OR(F154="L",F154="S",F154="I"),-1,1)</f>
        <v>27188.73</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9962.56</v>
      </c>
      <c r="AM155" s="905">
        <f t="shared" si="14"/>
        <v>3751.58</v>
      </c>
      <c r="AN155" s="905">
        <f>INDEX(G155:R155,1,MATCH(Parametres!$B$3,G$1:R$1,0))*IF(OR(F155="L",F155="S",F155="I"),-1,1)</f>
        <v>13714.14</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40582.9</v>
      </c>
      <c r="AM157" s="905">
        <f t="shared" si="14"/>
        <v>12224.879999999997</v>
      </c>
      <c r="AN157" s="905">
        <f>INDEX(G157:R157,1,MATCH(Parametres!$B$3,G$1:R$1,0))*IF(OR(F157="L",F157="S",F157="I"),-1,1)</f>
        <v>52807.78</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16580.990000000002</v>
      </c>
      <c r="AM158" s="905">
        <f t="shared" si="14"/>
        <v>3999.3499999999985</v>
      </c>
      <c r="AN158" s="905">
        <f>INDEX(G158:R158,1,MATCH(Parametres!$B$3,G$1:R$1,0))*IF(OR(F158="L",F158="S",F158="I"),-1,1)</f>
        <v>20580.34</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7418.3</v>
      </c>
      <c r="AM159" s="905">
        <f t="shared" si="14"/>
        <v>2504.8200000000006</v>
      </c>
      <c r="AN159" s="905">
        <f>INDEX(G159:R159,1,MATCH(Parametres!$B$3,G$1:R$1,0))*IF(OR(F159="L",F159="S",F159="I"),-1,1)</f>
        <v>9923.1200000000008</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2464.04</v>
      </c>
      <c r="AM163" s="905">
        <f t="shared" si="14"/>
        <v>888.36000000000013</v>
      </c>
      <c r="AN163" s="905">
        <f>INDEX(G163:R163,1,MATCH(Parametres!$B$3,G$1:R$1,0))*IF(OR(F163="L",F163="S",F163="I"),-1,1)</f>
        <v>3352.4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20331.599999999999</v>
      </c>
      <c r="AM164" s="905">
        <f t="shared" si="14"/>
        <v>450</v>
      </c>
      <c r="AN164" s="905">
        <f>INDEX(G164:R164,1,MATCH(Parametres!$B$3,G$1:R$1,0))*IF(OR(F164="L",F164="S",F164="I"),-1,1)</f>
        <v>20781.599999999999</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2207.58</v>
      </c>
      <c r="AM165" s="905">
        <f t="shared" si="14"/>
        <v>0</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12866.55</v>
      </c>
      <c r="AM166" s="905">
        <f t="shared" si="14"/>
        <v>300</v>
      </c>
      <c r="AN166" s="905">
        <f>INDEX(G166:R166,1,MATCH(Parametres!$B$3,G$1:R$1,0))*IF(OR(F166="L",F166="S",F166="I"),-1,1)</f>
        <v>13166.55</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19764.53</v>
      </c>
      <c r="AM170" s="905">
        <f t="shared" si="14"/>
        <v>450</v>
      </c>
      <c r="AN170" s="905">
        <f>INDEX(G170:R170,1,MATCH(Parametres!$B$3,G$1:R$1,0))*IF(OR(F170="L",F170="S",F170="I"),-1,1)</f>
        <v>20214.53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435.73</v>
      </c>
      <c r="AM171" s="905">
        <f t="shared" si="14"/>
        <v>25.95999999999998</v>
      </c>
      <c r="AN171" s="905">
        <f>INDEX(G171:R171,1,MATCH(Parametres!$B$3,G$1:R$1,0))*IF(OR(F171="L",F171="S",F171="I"),-1,1)</f>
        <v>461.69</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6433.28</v>
      </c>
      <c r="AM172" s="905">
        <f t="shared" si="14"/>
        <v>150</v>
      </c>
      <c r="AN172" s="905">
        <f>INDEX(G172:R172,1,MATCH(Parametres!$B$3,G$1:R$1,0))*IF(OR(F172="L",F172="S",F172="I"),-1,1)</f>
        <v>6583.28</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7351.66</v>
      </c>
      <c r="AM174" s="905">
        <f t="shared" si="14"/>
        <v>150</v>
      </c>
      <c r="AN174" s="905">
        <f>INDEX(G174:R174,1,MATCH(Parametres!$B$3,G$1:R$1,0))*IF(OR(F174="L",F174="S",F174="I"),-1,1)</f>
        <v>7501.66</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6669.12</v>
      </c>
      <c r="AM177" s="905">
        <f t="shared" si="14"/>
        <v>1596.1799999999994</v>
      </c>
      <c r="AN177" s="905">
        <f>INDEX(G177:R177,1,MATCH(Parametres!$B$3,G$1:R$1,0))*IF(OR(F177="L",F177="S",F177="I"),-1,1)</f>
        <v>8265.2999999999993</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6047.45</v>
      </c>
      <c r="AM178" s="905">
        <f t="shared" si="14"/>
        <v>6585.04</v>
      </c>
      <c r="AN178" s="905">
        <f>INDEX(G178:R178,1,MATCH(Parametres!$B$3,G$1:R$1,0))*IF(OR(F178="L",F178="S",F178="I"),-1,1)</f>
        <v>12632.49</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2115</v>
      </c>
      <c r="AM179" s="905">
        <f t="shared" si="14"/>
        <v>666</v>
      </c>
      <c r="AN179" s="905">
        <f>INDEX(G179:R179,1,MATCH(Parametres!$B$3,G$1:R$1,0))*IF(OR(F179="L",F179="S",F179="I"),-1,1)</f>
        <v>2781</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8267.3700000000008</v>
      </c>
      <c r="AM180" s="905">
        <f t="shared" si="14"/>
        <v>1017.6999999999989</v>
      </c>
      <c r="AN180" s="905">
        <f>INDEX(G180:R180,1,MATCH(Parametres!$B$3,G$1:R$1,0))*IF(OR(F180="L",F180="S",F180="I"),-1,1)</f>
        <v>9285.07</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4256.87</v>
      </c>
      <c r="AM181" s="905">
        <f t="shared" si="14"/>
        <v>927.38000000000011</v>
      </c>
      <c r="AN181" s="905">
        <f>INDEX(G181:R181,1,MATCH(Parametres!$B$3,G$1:R$1,0))*IF(OR(F181="L",F181="S",F181="I"),-1,1)</f>
        <v>5184.25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1911.23</v>
      </c>
      <c r="AM183" s="905">
        <f t="shared" si="14"/>
        <v>450</v>
      </c>
      <c r="AN183" s="905">
        <f>INDEX(G183:R183,1,MATCH(Parametres!$B$3,G$1:R$1,0))*IF(OR(F183="L",F183="S",F183="I"),-1,1)</f>
        <v>2361.23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1274.1500000000001</v>
      </c>
      <c r="AM184" s="905">
        <f t="shared" si="14"/>
        <v>300</v>
      </c>
      <c r="AN184" s="905">
        <f>INDEX(G184:R184,1,MATCH(Parametres!$B$3,G$1:R$1,0))*IF(OR(F184="L",F184="S",F184="I"),-1,1)</f>
        <v>1574.15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1977.23</v>
      </c>
      <c r="AM186" s="905">
        <f t="shared" si="14"/>
        <v>549</v>
      </c>
      <c r="AN186" s="905">
        <f>INDEX(G186:R186,1,MATCH(Parametres!$B$3,G$1:R$1,0))*IF(OR(F186="L",F186="S",F186="I"),-1,1)</f>
        <v>2526.23</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637.08000000000004</v>
      </c>
      <c r="AM187" s="905">
        <f t="shared" si="14"/>
        <v>150</v>
      </c>
      <c r="AN187" s="905">
        <f>INDEX(G187:R187,1,MATCH(Parametres!$B$3,G$1:R$1,0))*IF(OR(F187="L",F187="S",F187="I"),-1,1)</f>
        <v>787.08</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637.05999999999995</v>
      </c>
      <c r="AM188" s="905">
        <f t="shared" si="14"/>
        <v>150</v>
      </c>
      <c r="AN188" s="905">
        <f>INDEX(G188:R188,1,MATCH(Parametres!$B$3,G$1:R$1,0))*IF(OR(F188="L",F188="S",F188="I"),-1,1)</f>
        <v>787.06</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5530.56</v>
      </c>
      <c r="AM190" s="905">
        <f t="shared" si="14"/>
        <v>1054.0499999999993</v>
      </c>
      <c r="AN190" s="905">
        <f>INDEX(G190:R190,1,MATCH(Parametres!$B$3,G$1:R$1,0))*IF(OR(F190="L",F190="S",F190="I"),-1,1)</f>
        <v>6584.61</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3445.38</v>
      </c>
      <c r="AM191" s="905">
        <f t="shared" si="14"/>
        <v>672.69999999999982</v>
      </c>
      <c r="AN191" s="905">
        <f>INDEX(G191:R191,1,MATCH(Parametres!$B$3,G$1:R$1,0))*IF(OR(F191="L",F191="S",F191="I"),-1,1)</f>
        <v>4118.08</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5547.96</v>
      </c>
      <c r="AM193" s="905">
        <f t="shared" si="14"/>
        <v>1484.0600000000004</v>
      </c>
      <c r="AN193" s="905">
        <f>INDEX(G193:R193,1,MATCH(Parametres!$B$3,G$1:R$1,0))*IF(OR(F193="L",F193="S",F193="I"),-1,1)</f>
        <v>7032.02</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1722.7</v>
      </c>
      <c r="AM194" s="905">
        <f t="shared" si="14"/>
        <v>336.3599999999999</v>
      </c>
      <c r="AN194" s="905">
        <f>INDEX(G194:R194,1,MATCH(Parametres!$B$3,G$1:R$1,0))*IF(OR(F194="L",F194="S",F194="I"),-1,1)</f>
        <v>2059.06</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1792.66</v>
      </c>
      <c r="AM195" s="905">
        <f t="shared" si="14"/>
        <v>336.3299999999997</v>
      </c>
      <c r="AN195" s="905">
        <f>INDEX(G195:R195,1,MATCH(Parametres!$B$3,G$1:R$1,0))*IF(OR(F195="L",F195="S",F195="I"),-1,1)</f>
        <v>2128.9899999999998</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3751</v>
      </c>
      <c r="AM197" s="905">
        <f t="shared" si="20"/>
        <v>665.02999999999975</v>
      </c>
      <c r="AN197" s="905">
        <f>INDEX(G197:R197,1,MATCH(Parametres!$B$3,G$1:R$1,0))*IF(OR(F197="L",F197="S",F197="I"),-1,1)</f>
        <v>4416.03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10746.83</v>
      </c>
      <c r="AM200" s="905">
        <f t="shared" si="20"/>
        <v>3687.2999999999993</v>
      </c>
      <c r="AN200" s="905">
        <f>INDEX(G200:R200,1,MATCH(Parametres!$B$3,G$1:R$1,0))*IF(OR(F200="L",F200="S",F200="I"),-1,1)</f>
        <v>14434.13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1310.4000000000001</v>
      </c>
      <c r="AM201" s="905">
        <f t="shared" si="20"/>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6234.5</v>
      </c>
      <c r="AM202" s="905">
        <f t="shared" si="20"/>
        <v>790.5</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515057.15</v>
      </c>
      <c r="AM204" s="905">
        <f t="shared" si="20"/>
        <v>111316.48999999999</v>
      </c>
      <c r="AN204" s="905">
        <f>INDEX(G204:R204,1,MATCH(Parametres!$B$3,G$1:R$1,0))*IF(OR(F204="L",F204="S",F204="I"),-1,1)</f>
        <v>626373.64</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121672.21</v>
      </c>
      <c r="AM205" s="905">
        <f t="shared" si="20"/>
        <v>22916.960000000006</v>
      </c>
      <c r="AN205" s="905">
        <f>INDEX(G205:R205,1,MATCH(Parametres!$B$3,G$1:R$1,0))*IF(OR(F205="L",F205="S",F205="I"),-1,1)</f>
        <v>144589.17000000001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118997.15</v>
      </c>
      <c r="AM206" s="905">
        <f t="shared" si="20"/>
        <v>22246.98000000001</v>
      </c>
      <c r="AN206" s="905">
        <f>INDEX(G206:R206,1,MATCH(Parametres!$B$3,G$1:R$1,0))*IF(OR(F206="L",F206="S",F206="I"),-1,1)</f>
        <v>141244.13</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303.56</v>
      </c>
      <c r="AM210" s="905">
        <f t="shared" si="20"/>
        <v>7833.11</v>
      </c>
      <c r="AN210" s="905">
        <f>INDEX(G210:R210,1,MATCH(Parametres!$B$3,G$1:R$1,0))*IF(OR(F210="L",F210="S",F210="I"),-1,1)</f>
        <v>8136.67</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68.94</v>
      </c>
      <c r="AM211" s="905">
        <f t="shared" si="20"/>
        <v>5222.0700000000006</v>
      </c>
      <c r="AN211" s="905">
        <f>INDEX(G211:R211,1,MATCH(Parametres!$B$3,G$1:R$1,0))*IF(OR(F211="L",F211="S",F211="I"),-1,1)</f>
        <v>5291.01</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-7236.63</v>
      </c>
      <c r="AM213" s="905">
        <f t="shared" si="20"/>
        <v>7718.16</v>
      </c>
      <c r="AN213" s="905">
        <f>INDEX(G213:R213,1,MATCH(Parametres!$B$3,G$1:R$1,0))*IF(OR(F213="L",F213="S",F213="I"),-1,1)</f>
        <v>481.53</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34.479999999999997</v>
      </c>
      <c r="AM214" s="905">
        <f t="shared" si="20"/>
        <v>2611.04</v>
      </c>
      <c r="AN214" s="905">
        <f>INDEX(G214:R214,1,MATCH(Parametres!$B$3,G$1:R$1,0))*IF(OR(F214="L",F214="S",F214="I"),-1,1)</f>
        <v>2645.52</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34.450000000000003</v>
      </c>
      <c r="AM215" s="905">
        <f t="shared" si="20"/>
        <v>2611.02</v>
      </c>
      <c r="AN215" s="905">
        <f>INDEX(G215:R215,1,MATCH(Parametres!$B$3,G$1:R$1,0))*IF(OR(F215="L",F215="S",F215="I"),-1,1)</f>
        <v>2645.47</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-1584775.24</v>
      </c>
      <c r="AM219" s="905">
        <f t="shared" si="20"/>
        <v>-207666.42999999993</v>
      </c>
      <c r="AN219" s="905">
        <f>INDEX(G219:R219,1,MATCH(Parametres!$B$3,G$1:R$1,0))*IF(OR(F219="L",F219="S",F219="I"),-1,1)</f>
        <v>-1792441.67</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107250</v>
      </c>
      <c r="AM229" s="905">
        <f t="shared" si="20"/>
        <v>20500</v>
      </c>
      <c r="AN229" s="905">
        <f>INDEX(G229:R229,1,MATCH(Parametres!$B$3,G$1:R$1,0))*IF(OR(F229="L",F229="S",F229="I"),-1,1)</f>
        <v>127750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71500</v>
      </c>
      <c r="AM230" s="905">
        <f t="shared" si="20"/>
        <v>12000</v>
      </c>
      <c r="AN230" s="905">
        <f>INDEX(G230:R230,1,MATCH(Parametres!$B$3,G$1:R$1,0))*IF(OR(F230="L",F230="S",F230="I"),-1,1)</f>
        <v>83500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107250</v>
      </c>
      <c r="AM232" s="905">
        <f t="shared" si="20"/>
        <v>18000</v>
      </c>
      <c r="AN232" s="905">
        <f>INDEX(G232:R232,1,MATCH(Parametres!$B$3,G$1:R$1,0))*IF(OR(F232="L",F232="S",F232="I"),-1,1)</f>
        <v>125250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35750</v>
      </c>
      <c r="AM233" s="905">
        <f t="shared" si="20"/>
        <v>6000</v>
      </c>
      <c r="AN233" s="905">
        <f>INDEX(G233:R233,1,MATCH(Parametres!$B$3,G$1:R$1,0))*IF(OR(F233="L",F233="S",F233="I"),-1,1)</f>
        <v>41750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35750</v>
      </c>
      <c r="AM234" s="905">
        <f t="shared" si="20"/>
        <v>6000</v>
      </c>
      <c r="AN234" s="905">
        <f>INDEX(G234:R234,1,MATCH(Parametres!$B$3,G$1:R$1,0))*IF(OR(F234="L",F234="S",F234="I"),-1,1)</f>
        <v>41750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56775.15</v>
      </c>
      <c r="AM236" s="905">
        <f t="shared" si="20"/>
        <v>14309.999999999993</v>
      </c>
      <c r="AN236" s="905">
        <f>INDEX(G236:R236,1,MATCH(Parametres!$B$3,G$1:R$1,0))*IF(OR(F236="L",F236="S",F236="I"),-1,1)</f>
        <v>71085.149999999994</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30800.1</v>
      </c>
      <c r="AM237" s="905">
        <f t="shared" si="20"/>
        <v>9540</v>
      </c>
      <c r="AN237" s="905">
        <f>INDEX(G237:R237,1,MATCH(Parametres!$B$3,G$1:R$1,0))*IF(OR(F237="L",F237="S",F237="I"),-1,1)</f>
        <v>40340.1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56775.15</v>
      </c>
      <c r="AM239" s="905">
        <f t="shared" si="20"/>
        <v>14309.999999999993</v>
      </c>
      <c r="AN239" s="905">
        <f>INDEX(G239:R239,1,MATCH(Parametres!$B$3,G$1:R$1,0))*IF(OR(F239="L",F239="S",F239="I"),-1,1)</f>
        <v>71085.149999999994</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18925.05</v>
      </c>
      <c r="AM240" s="905">
        <f t="shared" si="20"/>
        <v>4770</v>
      </c>
      <c r="AN240" s="905">
        <f>INDEX(G240:R240,1,MATCH(Parametres!$B$3,G$1:R$1,0))*IF(OR(F240="L",F240="S",F240="I"),-1,1)</f>
        <v>23695.05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18925.05</v>
      </c>
      <c r="AM241" s="905">
        <f t="shared" si="20"/>
        <v>4770</v>
      </c>
      <c r="AN241" s="905">
        <f>INDEX(G241:R241,1,MATCH(Parametres!$B$3,G$1:R$1,0))*IF(OR(F241="L",F241="S",F241="I"),-1,1)</f>
        <v>23695.05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12142.5</v>
      </c>
      <c r="AM243" s="905">
        <f t="shared" si="20"/>
        <v>1412.42</v>
      </c>
      <c r="AN243" s="905">
        <f>INDEX(G243:R243,1,MATCH(Parametres!$B$3,G$1:R$1,0))*IF(OR(F243="L",F243="S",F243="I"),-1,1)</f>
        <v>13554.92</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8060.45</v>
      </c>
      <c r="AM244" s="905">
        <f t="shared" si="20"/>
        <v>941.60999999999967</v>
      </c>
      <c r="AN244" s="905">
        <f>INDEX(G244:R244,1,MATCH(Parametres!$B$3,G$1:R$1,0))*IF(OR(F244="L",F244="S",F244="I"),-1,1)</f>
        <v>9002.06</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20630.88</v>
      </c>
      <c r="AM246" s="905">
        <f t="shared" si="20"/>
        <v>1412.4199999999983</v>
      </c>
      <c r="AN246" s="905">
        <f>INDEX(G246:R246,1,MATCH(Parametres!$B$3,G$1:R$1,0))*IF(OR(F246="L",F246="S",F246="I"),-1,1)</f>
        <v>22043.3</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9432.61</v>
      </c>
      <c r="AM247" s="905">
        <f t="shared" si="20"/>
        <v>623.72999999999956</v>
      </c>
      <c r="AN247" s="905">
        <f>INDEX(G247:R247,1,MATCH(Parametres!$B$3,G$1:R$1,0))*IF(OR(F247="L",F247="S",F247="I"),-1,1)</f>
        <v>10056.34</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4030.18</v>
      </c>
      <c r="AM248" s="905">
        <f t="shared" si="20"/>
        <v>470.80999999999995</v>
      </c>
      <c r="AN248" s="905">
        <f>INDEX(G248:R248,1,MATCH(Parametres!$B$3,G$1:R$1,0))*IF(OR(F248="L",F248="S",F248="I"),-1,1)</f>
        <v>4500.99</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209.6</v>
      </c>
      <c r="AM250" s="905">
        <f t="shared" si="20"/>
        <v>41.920000000000016</v>
      </c>
      <c r="AN250" s="905">
        <f>INDEX(G250:R250,1,MATCH(Parametres!$B$3,G$1:R$1,0))*IF(OR(F250="L",F250="S",F250="I"),-1,1)</f>
        <v>251.52</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139.75</v>
      </c>
      <c r="AM251" s="905">
        <f t="shared" si="20"/>
        <v>27.949999999999989</v>
      </c>
      <c r="AN251" s="905">
        <f>INDEX(G251:R251,1,MATCH(Parametres!$B$3,G$1:R$1,0))*IF(OR(F251="L",F251="S",F251="I"),-1,1)</f>
        <v>167.7</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209.6</v>
      </c>
      <c r="AM252" s="905">
        <f t="shared" si="20"/>
        <v>41.920000000000016</v>
      </c>
      <c r="AN252" s="905">
        <f>INDEX(G252:R252,1,MATCH(Parametres!$B$3,G$1:R$1,0))*IF(OR(F252="L",F252="S",F252="I"),-1,1)</f>
        <v>251.52</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69.849999999999994</v>
      </c>
      <c r="AM253" s="905">
        <f t="shared" si="20"/>
        <v>13.969999999999999</v>
      </c>
      <c r="AN253" s="905">
        <f>INDEX(G253:R253,1,MATCH(Parametres!$B$3,G$1:R$1,0))*IF(OR(F253="L",F253="S",F253="I"),-1,1)</f>
        <v>83.82</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69.849999999999994</v>
      </c>
      <c r="AM254" s="905">
        <f t="shared" si="20"/>
        <v>13.969999999999999</v>
      </c>
      <c r="AN254" s="905">
        <f>INDEX(G254:R254,1,MATCH(Parametres!$B$3,G$1:R$1,0))*IF(OR(F254="L",F254="S",F254="I"),-1,1)</f>
        <v>83.82</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6837</v>
      </c>
      <c r="AM256" s="905">
        <f t="shared" si="20"/>
        <v>1367.3999999999996</v>
      </c>
      <c r="AN256" s="905">
        <f>INDEX(G256:R256,1,MATCH(Parametres!$B$3,G$1:R$1,0))*IF(OR(F256="L",F256="S",F256="I"),-1,1)</f>
        <v>8204.4</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4558</v>
      </c>
      <c r="AM257" s="905">
        <f t="shared" si="20"/>
        <v>911.60000000000036</v>
      </c>
      <c r="AN257" s="905">
        <f>INDEX(G257:R257,1,MATCH(Parametres!$B$3,G$1:R$1,0))*IF(OR(F257="L",F257="S",F257="I"),-1,1)</f>
        <v>5469.6</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6837</v>
      </c>
      <c r="AM258" s="905">
        <f t="shared" si="20"/>
        <v>1367.3999999999996</v>
      </c>
      <c r="AN258" s="905">
        <f>INDEX(G258:R258,1,MATCH(Parametres!$B$3,G$1:R$1,0))*IF(OR(F258="L",F258="S",F258="I"),-1,1)</f>
        <v>8204.4</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2279</v>
      </c>
      <c r="AM259" s="905">
        <f t="shared" si="20"/>
        <v>455.80000000000018</v>
      </c>
      <c r="AN259" s="905">
        <f>INDEX(G259:R259,1,MATCH(Parametres!$B$3,G$1:R$1,0))*IF(OR(F259="L",F259="S",F259="I"),-1,1)</f>
        <v>2734.8</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2279</v>
      </c>
      <c r="AM260" s="905">
        <f t="shared" ref="AM260:AM323" si="26">AN260-AL260</f>
        <v>455.80000000000018</v>
      </c>
      <c r="AN260" s="905">
        <f>INDEX(G260:R260,1,MATCH(Parametres!$B$3,G$1:R$1,0))*IF(OR(F260="L",F260="S",F260="I"),-1,1)</f>
        <v>2734.8</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19610.400000000001</v>
      </c>
      <c r="AM262" s="905">
        <f t="shared" si="26"/>
        <v>3922.0799999999981</v>
      </c>
      <c r="AN262" s="905">
        <f>INDEX(G262:R262,1,MATCH(Parametres!$B$3,G$1:R$1,0))*IF(OR(F262="L",F262="S",F262="I"),-1,1)</f>
        <v>23532.48</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13073.6</v>
      </c>
      <c r="AM263" s="905">
        <f t="shared" si="26"/>
        <v>2614.7199999999993</v>
      </c>
      <c r="AN263" s="905">
        <f>INDEX(G263:R263,1,MATCH(Parametres!$B$3,G$1:R$1,0))*IF(OR(F263="L",F263="S",F263="I"),-1,1)</f>
        <v>15688.32</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19610.400000000001</v>
      </c>
      <c r="AM264" s="905">
        <f t="shared" si="26"/>
        <v>3922.0799999999981</v>
      </c>
      <c r="AN264" s="905">
        <f>INDEX(G264:R264,1,MATCH(Parametres!$B$3,G$1:R$1,0))*IF(OR(F264="L",F264="S",F264="I"),-1,1)</f>
        <v>23532.48</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6536.8</v>
      </c>
      <c r="AM265" s="905">
        <f t="shared" si="26"/>
        <v>1307.3599999999997</v>
      </c>
      <c r="AN265" s="905">
        <f>INDEX(G265:R265,1,MATCH(Parametres!$B$3,G$1:R$1,0))*IF(OR(F265="L",F265="S",F265="I"),-1,1)</f>
        <v>7844.16</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6536.85</v>
      </c>
      <c r="AM266" s="905">
        <f t="shared" si="26"/>
        <v>1307.3699999999999</v>
      </c>
      <c r="AN266" s="905">
        <f>INDEX(G266:R266,1,MATCH(Parametres!$B$3,G$1:R$1,0))*IF(OR(F266="L",F266="S",F266="I"),-1,1)</f>
        <v>7844.22</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8814.48</v>
      </c>
      <c r="AM268" s="905">
        <f t="shared" si="26"/>
        <v>2612.4600000000009</v>
      </c>
      <c r="AN268" s="905">
        <f>INDEX(G268:R268,1,MATCH(Parametres!$B$3,G$1:R$1,0))*IF(OR(F268="L",F268="S",F268="I"),-1,1)</f>
        <v>11426.94</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2635.87</v>
      </c>
      <c r="AM269" s="905">
        <f t="shared" si="26"/>
        <v>1087.52</v>
      </c>
      <c r="AN269" s="905">
        <f>INDEX(G269:R269,1,MATCH(Parametres!$B$3,G$1:R$1,0))*IF(OR(F269="L",F269="S",F269="I"),-1,1)</f>
        <v>3723.39</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14415.34</v>
      </c>
      <c r="AM270" s="905">
        <f t="shared" si="26"/>
        <v>2375.4500000000007</v>
      </c>
      <c r="AN270" s="905">
        <f>INDEX(G270:R270,1,MATCH(Parametres!$B$3,G$1:R$1,0))*IF(OR(F270="L",F270="S",F270="I"),-1,1)</f>
        <v>16790.79</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10482.82</v>
      </c>
      <c r="AM271" s="905">
        <f t="shared" si="26"/>
        <v>1978.630000000001</v>
      </c>
      <c r="AN271" s="905">
        <f>INDEX(G271:R271,1,MATCH(Parametres!$B$3,G$1:R$1,0))*IF(OR(F271="L",F271="S",F271="I"),-1,1)</f>
        <v>12461.45</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5663.51</v>
      </c>
      <c r="AM272" s="905">
        <f t="shared" si="26"/>
        <v>1250.0100000000002</v>
      </c>
      <c r="AN272" s="905">
        <f>INDEX(G272:R272,1,MATCH(Parametres!$B$3,G$1:R$1,0))*IF(OR(F272="L",F272="S",F272="I"),-1,1)</f>
        <v>6913.52</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17972.259999999998</v>
      </c>
      <c r="AM280" s="905">
        <f t="shared" si="26"/>
        <v>3000</v>
      </c>
      <c r="AN280" s="905">
        <f>INDEX(G280:R280,1,MATCH(Parametres!$B$3,G$1:R$1,0))*IF(OR(F280="L",F280="S",F280="I"),-1,1)</f>
        <v>20972.26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11981.5</v>
      </c>
      <c r="AM281" s="905">
        <f t="shared" si="26"/>
        <v>2000</v>
      </c>
      <c r="AN281" s="905">
        <f>INDEX(G281:R281,1,MATCH(Parametres!$B$3,G$1:R$1,0))*IF(OR(F281="L",F281="S",F281="I"),-1,1)</f>
        <v>13981.5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17972.259999999998</v>
      </c>
      <c r="AM283" s="905">
        <f t="shared" si="26"/>
        <v>3000</v>
      </c>
      <c r="AN283" s="905">
        <f>INDEX(G283:R283,1,MATCH(Parametres!$B$3,G$1:R$1,0))*IF(OR(F283="L",F283="S",F283="I"),-1,1)</f>
        <v>20972.26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5990.75</v>
      </c>
      <c r="AM284" s="905">
        <f t="shared" si="26"/>
        <v>1000</v>
      </c>
      <c r="AN284" s="905">
        <f>INDEX(G284:R284,1,MATCH(Parametres!$B$3,G$1:R$1,0))*IF(OR(F284="L",F284="S",F284="I"),-1,1)</f>
        <v>6990.75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5990.75</v>
      </c>
      <c r="AM285" s="905">
        <f t="shared" si="26"/>
        <v>1000</v>
      </c>
      <c r="AN285" s="905">
        <f>INDEX(G285:R285,1,MATCH(Parametres!$B$3,G$1:R$1,0))*IF(OR(F285="L",F285="S",F285="I"),-1,1)</f>
        <v>6990.75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705.2</v>
      </c>
      <c r="AM287" s="905">
        <f t="shared" si="26"/>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17204.39</v>
      </c>
      <c r="AM289" s="905">
        <f t="shared" si="26"/>
        <v>3553.3100000000013</v>
      </c>
      <c r="AN289" s="905">
        <f>INDEX(G289:R289,1,MATCH(Parametres!$B$3,G$1:R$1,0))*IF(OR(F289="L",F289="S",F289="I"),-1,1)</f>
        <v>20757.7</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5498.75</v>
      </c>
      <c r="AM290" s="905">
        <f t="shared" si="26"/>
        <v>2532.7600000000002</v>
      </c>
      <c r="AN290" s="905">
        <f>INDEX(G290:R290,1,MATCH(Parametres!$B$3,G$1:R$1,0))*IF(OR(F290="L",F290="S",F290="I"),-1,1)</f>
        <v>8031.51</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0</v>
      </c>
      <c r="AM291" s="905">
        <f t="shared" si="26"/>
        <v>1615.42</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17064.14</v>
      </c>
      <c r="AM293" s="905">
        <f t="shared" si="26"/>
        <v>3193.9500000000007</v>
      </c>
      <c r="AN293" s="905">
        <f>INDEX(G293:R293,1,MATCH(Parametres!$B$3,G$1:R$1,0))*IF(OR(F293="L",F293="S",F293="I"),-1,1)</f>
        <v>20258.09</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11376.09</v>
      </c>
      <c r="AM294" s="905">
        <f t="shared" si="26"/>
        <v>2129.2999999999993</v>
      </c>
      <c r="AN294" s="905">
        <f>INDEX(G294:R294,1,MATCH(Parametres!$B$3,G$1:R$1,0))*IF(OR(F294="L",F294="S",F294="I"),-1,1)</f>
        <v>13505.39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17064.14</v>
      </c>
      <c r="AM295" s="905">
        <f t="shared" si="26"/>
        <v>3193.9500000000007</v>
      </c>
      <c r="AN295" s="905">
        <f>INDEX(G295:R295,1,MATCH(Parametres!$B$3,G$1:R$1,0))*IF(OR(F295="L",F295="S",F295="I"),-1,1)</f>
        <v>20258.09</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5688.05</v>
      </c>
      <c r="AM296" s="905">
        <f t="shared" si="26"/>
        <v>1064.6499999999996</v>
      </c>
      <c r="AN296" s="905">
        <f>INDEX(G296:R296,1,MATCH(Parametres!$B$3,G$1:R$1,0))*IF(OR(F296="L",F296="S",F296="I"),-1,1)</f>
        <v>6752.7</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5688.03</v>
      </c>
      <c r="AM297" s="905">
        <f t="shared" si="26"/>
        <v>1064.6500000000005</v>
      </c>
      <c r="AN297" s="905">
        <f>INDEX(G297:R297,1,MATCH(Parametres!$B$3,G$1:R$1,0))*IF(OR(F297="L",F297="S",F297="I"),-1,1)</f>
        <v>6752.68</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299.89999999999998</v>
      </c>
      <c r="AM299" s="905">
        <f t="shared" si="26"/>
        <v>59.980000000000018</v>
      </c>
      <c r="AN299" s="905">
        <f>INDEX(G299:R299,1,MATCH(Parametres!$B$3,G$1:R$1,0))*IF(OR(F299="L",F299="S",F299="I"),-1,1)</f>
        <v>359.88</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187.45</v>
      </c>
      <c r="AM300" s="905">
        <f t="shared" si="26"/>
        <v>37.490000000000009</v>
      </c>
      <c r="AN300" s="905">
        <f>INDEX(G300:R300,1,MATCH(Parametres!$B$3,G$1:R$1,0))*IF(OR(F300="L",F300="S",F300="I"),-1,1)</f>
        <v>224.94</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3988.11</v>
      </c>
      <c r="AM301" s="905">
        <f t="shared" si="26"/>
        <v>491.69000000000005</v>
      </c>
      <c r="AN301" s="905">
        <f>INDEX(G301:R301,1,MATCH(Parametres!$B$3,G$1:R$1,0))*IF(OR(F301="L",F301="S",F301="I"),-1,1)</f>
        <v>4479.8</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37.5</v>
      </c>
      <c r="AM302" s="905">
        <f t="shared" si="26"/>
        <v>7.5</v>
      </c>
      <c r="AN302" s="905">
        <f>INDEX(G302:R302,1,MATCH(Parametres!$B$3,G$1:R$1,0))*IF(OR(F302="L",F302="S",F302="I"),-1,1)</f>
        <v>45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116.2</v>
      </c>
      <c r="AM303" s="905">
        <f t="shared" si="26"/>
        <v>68.959999999999994</v>
      </c>
      <c r="AN303" s="905">
        <f>INDEX(G303:R303,1,MATCH(Parametres!$B$3,G$1:R$1,0))*IF(OR(F303="L",F303="S",F303="I"),-1,1)</f>
        <v>185.16</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v>
      </c>
      <c r="AM308" s="905">
        <f t="shared" si="26"/>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6446635.5800000001</v>
      </c>
      <c r="AM311" s="905">
        <f t="shared" si="26"/>
        <v>-5404583.4000000004</v>
      </c>
      <c r="AN311" s="905">
        <f>INDEX(G311:R311,1,MATCH(Parametres!$B$3,G$1:R$1,0))*IF(OR(F311="L",F311="S",F311="I"),-1,1)</f>
        <v>1042052.18</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-103.1</v>
      </c>
      <c r="AM315" s="905">
        <f t="shared" si="26"/>
        <v>1059.25</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1382623.28</v>
      </c>
      <c r="AM318" s="905">
        <f t="shared" si="26"/>
        <v>-521090.48</v>
      </c>
      <c r="AN318" s="905">
        <f>INDEX(G318:R318,1,MATCH(Parametres!$B$3,G$1:R$1,0))*IF(OR(F318="L",F318="S",F318="I"),-1,1)</f>
        <v>861532.8</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-14870.9</v>
      </c>
      <c r="AM321" s="905">
        <f t="shared" si="26"/>
        <v>-115480.53</v>
      </c>
      <c r="AN321" s="905">
        <f>INDEX(G321:R321,1,MATCH(Parametres!$B$3,G$1:R$1,0))*IF(OR(F321="L",F321="S",F321="I"),-1,1)</f>
        <v>-130351.43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653265.4</v>
      </c>
      <c r="AM323" s="905">
        <f t="shared" si="26"/>
        <v>79203.349999999977</v>
      </c>
      <c r="AN323" s="905">
        <f>INDEX(G323:R323,1,MATCH(Parametres!$B$3,G$1:R$1,0))*IF(OR(F323="L",F323="S",F323="I"),-1,1)</f>
        <v>732468.75</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39273.97</v>
      </c>
      <c r="AM324" s="905">
        <f t="shared" ref="AM324:AM387" si="32">AN324-AL324</f>
        <v>-119756.07</v>
      </c>
      <c r="AN324" s="905">
        <f>INDEX(G324:R324,1,MATCH(Parametres!$B$3,G$1:R$1,0))*IF(OR(F324="L",F324="S",F324="I"),-1,1)</f>
        <v>-80482.100000000006</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73119.649999999994</v>
      </c>
      <c r="AM325" s="905">
        <f t="shared" si="32"/>
        <v>-61155.619999999995</v>
      </c>
      <c r="AN325" s="905">
        <f>INDEX(G325:R325,1,MATCH(Parametres!$B$3,G$1:R$1,0))*IF(OR(F325="L",F325="S",F325="I"),-1,1)</f>
        <v>11964.03</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25676.25</v>
      </c>
      <c r="AM326" s="905">
        <f t="shared" si="32"/>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97530.87</v>
      </c>
      <c r="AM327" s="905">
        <f t="shared" si="32"/>
        <v>5630.4100000000035</v>
      </c>
      <c r="AN327" s="905">
        <f>INDEX(G327:R327,1,MATCH(Parametres!$B$3,G$1:R$1,0))*IF(OR(F327="L",F327="S",F327="I"),-1,1)</f>
        <v>103161.28</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1215507.83</v>
      </c>
      <c r="AM328" s="905">
        <f t="shared" si="32"/>
        <v>-290972.00000000012</v>
      </c>
      <c r="AN328" s="905">
        <f>INDEX(G328:R328,1,MATCH(Parametres!$B$3,G$1:R$1,0))*IF(OR(F328="L",F328="S",F328="I"),-1,1)</f>
        <v>924535.83</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42626.15</v>
      </c>
      <c r="AM329" s="905">
        <f t="shared" si="32"/>
        <v>400</v>
      </c>
      <c r="AN329" s="905">
        <f>INDEX(G329:R329,1,MATCH(Parametres!$B$3,G$1:R$1,0))*IF(OR(F329="L",F329="S",F329="I"),-1,1)</f>
        <v>43026.15</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684504.37</v>
      </c>
      <c r="AM330" s="905">
        <f t="shared" si="32"/>
        <v>48133.010000000009</v>
      </c>
      <c r="AN330" s="905">
        <f>INDEX(G330:R330,1,MATCH(Parametres!$B$3,G$1:R$1,0))*IF(OR(F330="L",F330="S",F330="I"),-1,1)</f>
        <v>732637.38</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2327812.0099999998</v>
      </c>
      <c r="AM331" s="905">
        <f t="shared" si="32"/>
        <v>-1658402.8599999999</v>
      </c>
      <c r="AN331" s="905">
        <f>INDEX(G331:R331,1,MATCH(Parametres!$B$3,G$1:R$1,0))*IF(OR(F331="L",F331="S",F331="I"),-1,1)</f>
        <v>669409.15</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-112519.81</v>
      </c>
      <c r="AM333" s="905">
        <f t="shared" si="32"/>
        <v>1492082.02</v>
      </c>
      <c r="AN333" s="905">
        <f>INDEX(G333:R333,1,MATCH(Parametres!$B$3,G$1:R$1,0))*IF(OR(F333="L",F333="S",F333="I"),-1,1)</f>
        <v>1379562.21</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178440.66</v>
      </c>
      <c r="AM334" s="905">
        <f t="shared" si="32"/>
        <v>33956.299999999988</v>
      </c>
      <c r="AN334" s="905">
        <f>INDEX(G334:R334,1,MATCH(Parametres!$B$3,G$1:R$1,0))*IF(OR(F334="L",F334="S",F334="I"),-1,1)</f>
        <v>212396.96</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138292.03</v>
      </c>
      <c r="AM336" s="905">
        <f t="shared" si="32"/>
        <v>-187057.53</v>
      </c>
      <c r="AN336" s="905">
        <f>INDEX(G336:R336,1,MATCH(Parametres!$B$3,G$1:R$1,0))*IF(OR(F336="L",F336="S",F336="I"),-1,1)</f>
        <v>-48765.5</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39640.29</v>
      </c>
      <c r="AM337" s="905">
        <f t="shared" si="32"/>
        <v>405567.7</v>
      </c>
      <c r="AN337" s="905">
        <f>INDEX(G337:R337,1,MATCH(Parametres!$B$3,G$1:R$1,0))*IF(OR(F337="L",F337="S",F337="I"),-1,1)</f>
        <v>445207.99</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-51525.95</v>
      </c>
      <c r="AM338" s="905">
        <f t="shared" si="32"/>
        <v>51525.95</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424368.22</v>
      </c>
      <c r="AM342" s="905">
        <f t="shared" si="32"/>
        <v>610053.39</v>
      </c>
      <c r="AN342" s="905">
        <f>INDEX(G342:R342,1,MATCH(Parametres!$B$3,G$1:R$1,0))*IF(OR(F342="L",F342="S",F342="I"),-1,1)</f>
        <v>1034421.61</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1156021.21</v>
      </c>
      <c r="AM344" s="905">
        <f t="shared" si="32"/>
        <v>-407013.14999999991</v>
      </c>
      <c r="AN344" s="905">
        <f>INDEX(G344:R344,1,MATCH(Parametres!$B$3,G$1:R$1,0))*IF(OR(F344="L",F344="S",F344="I"),-1,1)</f>
        <v>749008.06</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265253.07</v>
      </c>
      <c r="AM347" s="905">
        <f t="shared" si="32"/>
        <v>793599.11999999988</v>
      </c>
      <c r="AN347" s="905">
        <f>INDEX(G347:R347,1,MATCH(Parametres!$B$3,G$1:R$1,0))*IF(OR(F347="L",F347="S",F347="I"),-1,1)</f>
        <v>1058852.19</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500553.25</v>
      </c>
      <c r="AM348" s="905">
        <f t="shared" si="32"/>
        <v>192405.80000000005</v>
      </c>
      <c r="AN348" s="905">
        <f>INDEX(G348:R348,1,MATCH(Parametres!$B$3,G$1:R$1,0))*IF(OR(F348="L",F348="S",F348="I"),-1,1)</f>
        <v>692959.05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278.81</v>
      </c>
      <c r="AM349" s="905">
        <f t="shared" si="32"/>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0</v>
      </c>
      <c r="AM350" s="905">
        <f t="shared" si="32"/>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1671139.99</v>
      </c>
      <c r="AM351" s="905">
        <f t="shared" si="32"/>
        <v>-638119.49</v>
      </c>
      <c r="AN351" s="905">
        <f>INDEX(G351:R351,1,MATCH(Parametres!$B$3,G$1:R$1,0))*IF(OR(F351="L",F351="S",F351="I"),-1,1)</f>
        <v>1033020.5</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-393693.51</v>
      </c>
      <c r="AM352" s="905">
        <f t="shared" si="32"/>
        <v>118673.23999999999</v>
      </c>
      <c r="AN352" s="905">
        <f>INDEX(G352:R352,1,MATCH(Parametres!$B$3,G$1:R$1,0))*IF(OR(F352="L",F352="S",F352="I"),-1,1)</f>
        <v>-275020.27</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1453.78</v>
      </c>
      <c r="AM354" s="905">
        <f t="shared" si="32"/>
        <v>339.06999999999994</v>
      </c>
      <c r="AN354" s="905">
        <f>INDEX(G354:R354,1,MATCH(Parametres!$B$3,G$1:R$1,0))*IF(OR(F354="L",F354="S",F354="I"),-1,1)</f>
        <v>1792.85</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84596.24</v>
      </c>
      <c r="AM355" s="905">
        <f t="shared" si="32"/>
        <v>25000</v>
      </c>
      <c r="AN355" s="905">
        <f>INDEX(G355:R355,1,MATCH(Parametres!$B$3,G$1:R$1,0))*IF(OR(F355="L",F355="S",F355="I"),-1,1)</f>
        <v>109596.24</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25000</v>
      </c>
      <c r="AM356" s="905">
        <f t="shared" si="32"/>
        <v>-25000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-19118.07</v>
      </c>
      <c r="AM357" s="905">
        <f t="shared" si="32"/>
        <v>19244.55</v>
      </c>
      <c r="AN357" s="905">
        <f>INDEX(G357:R357,1,MATCH(Parametres!$B$3,G$1:R$1,0))*IF(OR(F357="L",F357="S",F357="I"),-1,1)</f>
        <v>126.48</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4189666.78</v>
      </c>
      <c r="AM363" s="905">
        <f t="shared" si="32"/>
        <v>-11668.549999999814</v>
      </c>
      <c r="AN363" s="905">
        <f>INDEX(G363:R363,1,MATCH(Parametres!$B$3,G$1:R$1,0))*IF(OR(F363="L",F363="S",F363="I"),-1,1)</f>
        <v>4177998.23</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0</v>
      </c>
      <c r="AM368" s="905">
        <f t="shared" si="32"/>
        <v>0</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0</v>
      </c>
      <c r="AM374" s="905">
        <f t="shared" si="32"/>
        <v>93830</v>
      </c>
      <c r="AN374" s="905">
        <f>INDEX(G374:R374,1,MATCH(Parametres!$B$3,G$1:R$1,0))*IF(OR(F374="L",F374="S",F374="I"),-1,1)</f>
        <v>93830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32043485.539999999</v>
      </c>
      <c r="AM376" s="905">
        <f t="shared" si="32"/>
        <v>-9391436.9800000004</v>
      </c>
      <c r="AN376" s="905">
        <f>INDEX(G376:R376,1,MATCH(Parametres!$B$3,G$1:R$1,0))*IF(OR(F376="L",F376="S",F376="I"),-1,1)</f>
        <v>22652048.559999999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466405.13</v>
      </c>
      <c r="AM377" s="905">
        <f t="shared" si="32"/>
        <v>-117115.89000000001</v>
      </c>
      <c r="AN377" s="905">
        <f>INDEX(G377:R377,1,MATCH(Parametres!$B$3,G$1:R$1,0))*IF(OR(F377="L",F377="S",F377="I"),-1,1)</f>
        <v>349289.24</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3178901.77</v>
      </c>
      <c r="AM379" s="905">
        <f t="shared" si="32"/>
        <v>-431573.12000000011</v>
      </c>
      <c r="AN379" s="905">
        <f>INDEX(G379:R379,1,MATCH(Parametres!$B$3,G$1:R$1,0))*IF(OR(F379="L",F379="S",F379="I"),-1,1)</f>
        <v>2747328.65</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13106556.949999999</v>
      </c>
      <c r="AM380" s="905">
        <f t="shared" si="32"/>
        <v>-6110598.6399999997</v>
      </c>
      <c r="AN380" s="905">
        <f>INDEX(G380:R380,1,MATCH(Parametres!$B$3,G$1:R$1,0))*IF(OR(F380="L",F380="S",F380="I"),-1,1)</f>
        <v>6995958.3099999996</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66601.11</v>
      </c>
      <c r="AM382" s="905">
        <f t="shared" si="32"/>
        <v>180001.16999999998</v>
      </c>
      <c r="AN382" s="905">
        <f>INDEX(G382:R382,1,MATCH(Parametres!$B$3,G$1:R$1,0))*IF(OR(F382="L",F382="S",F382="I"),-1,1)</f>
        <v>246602.28</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311747.68</v>
      </c>
      <c r="AM383" s="905">
        <f t="shared" si="32"/>
        <v>-176555.02</v>
      </c>
      <c r="AN383" s="905">
        <f>INDEX(G383:R383,1,MATCH(Parametres!$B$3,G$1:R$1,0))*IF(OR(F383="L",F383="S",F383="I"),-1,1)</f>
        <v>135192.66</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25759.58</v>
      </c>
      <c r="AM385" s="905">
        <f t="shared" si="32"/>
        <v>11262.049999999996</v>
      </c>
      <c r="AN385" s="905">
        <f>INDEX(G385:R385,1,MATCH(Parametres!$B$3,G$1:R$1,0))*IF(OR(F385="L",F385="S",F385="I"),-1,1)</f>
        <v>37021.629999999997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47889.58</v>
      </c>
      <c r="AM386" s="905">
        <f t="shared" si="32"/>
        <v>1971.5199999999968</v>
      </c>
      <c r="AN386" s="905">
        <f>INDEX(G386:R386,1,MATCH(Parametres!$B$3,G$1:R$1,0))*IF(OR(F386="L",F386="S",F386="I"),-1,1)</f>
        <v>49861.1</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1189.28</v>
      </c>
      <c r="AM387" s="905">
        <f t="shared" si="32"/>
        <v>-177.53999999999996</v>
      </c>
      <c r="AN387" s="905">
        <f>INDEX(G387:R387,1,MATCH(Parametres!$B$3,G$1:R$1,0))*IF(OR(F387="L",F387="S",F387="I"),-1,1)</f>
        <v>1011.74</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33707.629999999997</v>
      </c>
      <c r="AM388" s="905">
        <f t="shared" ref="AM388:AM451" si="38">AN388-AL388</f>
        <v>13897.150000000001</v>
      </c>
      <c r="AN388" s="905">
        <f>INDEX(G388:R388,1,MATCH(Parametres!$B$3,G$1:R$1,0))*IF(OR(F388="L",F388="S",F388="I"),-1,1)</f>
        <v>47604.78</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11823.78</v>
      </c>
      <c r="AM389" s="905">
        <f t="shared" si="38"/>
        <v>-7885.9500000000007</v>
      </c>
      <c r="AN389" s="905">
        <f>INDEX(G389:R389,1,MATCH(Parametres!$B$3,G$1:R$1,0))*IF(OR(F389="L",F389="S",F389="I"),-1,1)</f>
        <v>3937.83</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5738.46</v>
      </c>
      <c r="AM390" s="905">
        <f t="shared" si="38"/>
        <v>-926.61999999999989</v>
      </c>
      <c r="AN390" s="905">
        <f>INDEX(G390:R390,1,MATCH(Parametres!$B$3,G$1:R$1,0))*IF(OR(F390="L",F390="S",F390="I"),-1,1)</f>
        <v>4811.84</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208078.66</v>
      </c>
      <c r="AM391" s="905">
        <f t="shared" si="38"/>
        <v>-50578.66</v>
      </c>
      <c r="AN391" s="905">
        <f>INDEX(G391:R391,1,MATCH(Parametres!$B$3,G$1:R$1,0))*IF(OR(F391="L",F391="S",F391="I"),-1,1)</f>
        <v>157500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307759</v>
      </c>
      <c r="AM394" s="905">
        <f t="shared" si="38"/>
        <v>-580635.02</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-47306.8</v>
      </c>
      <c r="AM395" s="905">
        <f t="shared" si="38"/>
        <v>26264.440000000002</v>
      </c>
      <c r="AN395" s="905">
        <f>INDEX(G395:R395,1,MATCH(Parametres!$B$3,G$1:R$1,0))*IF(OR(F395="L",F395="S",F395="I"),-1,1)</f>
        <v>-21042.36</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257039.09</v>
      </c>
      <c r="AM396" s="905">
        <f t="shared" si="38"/>
        <v>118643.37000000002</v>
      </c>
      <c r="AN396" s="905">
        <f>INDEX(G396:R396,1,MATCH(Parametres!$B$3,G$1:R$1,0))*IF(OR(F396="L",F396="S",F396="I"),-1,1)</f>
        <v>375682.46</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146609</v>
      </c>
      <c r="AM397" s="905">
        <f t="shared" si="38"/>
        <v>386319.86</v>
      </c>
      <c r="AN397" s="905">
        <f>INDEX(G397:R397,1,MATCH(Parametres!$B$3,G$1:R$1,0))*IF(OR(F397="L",F397="S",F397="I"),-1,1)</f>
        <v>532928.86</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17300.34</v>
      </c>
      <c r="AM398" s="905">
        <f t="shared" si="38"/>
        <v>-2653.2000000000007</v>
      </c>
      <c r="AN398" s="905">
        <f>INDEX(G398:R398,1,MATCH(Parametres!$B$3,G$1:R$1,0))*IF(OR(F398="L",F398="S",F398="I"),-1,1)</f>
        <v>14647.14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24096.62</v>
      </c>
      <c r="AM399" s="905">
        <f t="shared" si="38"/>
        <v>-11313.829999999998</v>
      </c>
      <c r="AN399" s="905">
        <f>INDEX(G399:R399,1,MATCH(Parametres!$B$3,G$1:R$1,0))*IF(OR(F399="L",F399="S",F399="I"),-1,1)</f>
        <v>12782.79</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1244163.44</v>
      </c>
      <c r="AM403" s="905">
        <f t="shared" si="38"/>
        <v>0</v>
      </c>
      <c r="AN403" s="905">
        <f>INDEX(G403:R403,1,MATCH(Parametres!$B$3,G$1:R$1,0))*IF(OR(F403="L",F403="S",F403="I"),-1,1)</f>
        <v>1244163.44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-19995.04</v>
      </c>
      <c r="AM404" s="905">
        <f t="shared" si="38"/>
        <v>-4558</v>
      </c>
      <c r="AN404" s="905">
        <f>INDEX(G404:R404,1,MATCH(Parametres!$B$3,G$1:R$1,0))*IF(OR(F404="L",F404="S",F404="I"),-1,1)</f>
        <v>-24553.040000000001</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91515.18</v>
      </c>
      <c r="AM405" s="905">
        <f t="shared" si="38"/>
        <v>-13073.609999999986</v>
      </c>
      <c r="AN405" s="905">
        <f>INDEX(G405:R405,1,MATCH(Parametres!$B$3,G$1:R$1,0))*IF(OR(F405="L",F405="S",F405="I"),-1,1)</f>
        <v>78441.570000000007</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237687.76</v>
      </c>
      <c r="AM406" s="905">
        <f t="shared" si="38"/>
        <v>2128665.7000000002</v>
      </c>
      <c r="AN406" s="905">
        <f>INDEX(G406:R406,1,MATCH(Parametres!$B$3,G$1:R$1,0))*IF(OR(F406="L",F406="S",F406="I"),-1,1)</f>
        <v>2366353.46</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1648094.55</v>
      </c>
      <c r="AM410" s="905">
        <f t="shared" si="38"/>
        <v>0</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357496.74</v>
      </c>
      <c r="AM412" s="905">
        <f t="shared" si="38"/>
        <v>382.98999999999069</v>
      </c>
      <c r="AN412" s="905">
        <f>INDEX(G412:R412,1,MATCH(Parametres!$B$3,G$1:R$1,0))*IF(OR(F412="L",F412="S",F412="I"),-1,1)</f>
        <v>357879.73</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231337.34</v>
      </c>
      <c r="AM414" s="905">
        <f t="shared" si="38"/>
        <v>-23975</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253962.99</v>
      </c>
      <c r="AM415" s="905">
        <f t="shared" si="38"/>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9500000</v>
      </c>
      <c r="AM419" s="905">
        <f t="shared" si="38"/>
        <v>1000000</v>
      </c>
      <c r="AN419" s="905">
        <f>INDEX(G419:R419,1,MATCH(Parametres!$B$3,G$1:R$1,0))*IF(OR(F419="L",F419="S",F419="I"),-1,1)</f>
        <v>10500000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-1429956.42</v>
      </c>
      <c r="AM422" s="905">
        <f t="shared" si="38"/>
        <v>912841.84999999986</v>
      </c>
      <c r="AN422" s="905">
        <f>INDEX(G422:R422,1,MATCH(Parametres!$B$3,G$1:R$1,0))*IF(OR(F422="L",F422="S",F422="I"),-1,1)</f>
        <v>-517114.57</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3079.08</v>
      </c>
      <c r="AM425" s="905">
        <f t="shared" si="38"/>
        <v>-7349.61</v>
      </c>
      <c r="AN425" s="905">
        <f>INDEX(G425:R425,1,MATCH(Parametres!$B$3,G$1:R$1,0))*IF(OR(F425="L",F425="S",F425="I"),-1,1)</f>
        <v>-4270.53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-7951</v>
      </c>
      <c r="AM426" s="905">
        <f t="shared" si="38"/>
        <v>4180</v>
      </c>
      <c r="AN426" s="905">
        <f>INDEX(G426:R426,1,MATCH(Parametres!$B$3,G$1:R$1,0))*IF(OR(F426="L",F426="S",F426="I"),-1,1)</f>
        <v>-3771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-144500</v>
      </c>
      <c r="AM427" s="905">
        <f t="shared" si="38"/>
        <v>100000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-1218649</v>
      </c>
      <c r="AM428" s="905">
        <f t="shared" si="38"/>
        <v>-688015.06</v>
      </c>
      <c r="AN428" s="905">
        <f>INDEX(G428:R428,1,MATCH(Parametres!$B$3,G$1:R$1,0))*IF(OR(F428="L",F428="S",F428="I"),-1,1)</f>
        <v>-1906664.06</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-5500000</v>
      </c>
      <c r="AM429" s="905">
        <f t="shared" si="38"/>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100000</v>
      </c>
      <c r="AM430" s="905">
        <f t="shared" si="38"/>
        <v>-100000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102129</v>
      </c>
      <c r="AN431" s="905">
        <f>INDEX(G431:R431,1,MATCH(Parametres!$B$3,G$1:R$1,0))*IF(OR(F431="L",F431="S",F431="I"),-1,1)</f>
        <v>102129</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-440507.43</v>
      </c>
      <c r="AM432" s="905">
        <f t="shared" si="38"/>
        <v>188468.65</v>
      </c>
      <c r="AN432" s="905">
        <f>INDEX(G432:R432,1,MATCH(Parametres!$B$3,G$1:R$1,0))*IF(OR(F432="L",F432="S",F432="I"),-1,1)</f>
        <v>-252038.78</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0</v>
      </c>
      <c r="AM433" s="905">
        <f t="shared" si="38"/>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-353738.07</v>
      </c>
      <c r="AM434" s="905">
        <f t="shared" si="38"/>
        <v>-611184.58000000007</v>
      </c>
      <c r="AN434" s="905">
        <f>INDEX(G434:R434,1,MATCH(Parametres!$B$3,G$1:R$1,0))*IF(OR(F434="L",F434="S",F434="I"),-1,1)</f>
        <v>-964922.65</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0</v>
      </c>
      <c r="AM436" s="905">
        <f t="shared" si="38"/>
        <v>-100000</v>
      </c>
      <c r="AN436" s="905">
        <f>INDEX(G436:R436,1,MATCH(Parametres!$B$3,G$1:R$1,0))*IF(OR(F436="L",F436="S",F436="I"),-1,1)</f>
        <v>-100000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0</v>
      </c>
      <c r="AM437" s="905">
        <f t="shared" si="38"/>
        <v>-181687</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-42163816.810000002</v>
      </c>
      <c r="AM440" s="905">
        <f t="shared" si="38"/>
        <v>12418003.630000003</v>
      </c>
      <c r="AN440" s="905">
        <f>INDEX(G440:R440,1,MATCH(Parametres!$B$3,G$1:R$1,0))*IF(OR(F440="L",F440="S",F440="I"),-1,1)</f>
        <v>-29745813.18</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-16835557.010000002</v>
      </c>
      <c r="AM441" s="905">
        <f t="shared" si="38"/>
        <v>6182837.2800000012</v>
      </c>
      <c r="AN441" s="905">
        <f>INDEX(G441:R441,1,MATCH(Parametres!$B$3,G$1:R$1,0))*IF(OR(F441="L",F441="S",F441="I"),-1,1)</f>
        <v>-10652719.73</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73648</v>
      </c>
      <c r="AM445" s="905">
        <f t="shared" si="38"/>
        <v>0</v>
      </c>
      <c r="AN445" s="905">
        <f>INDEX(G445:R445,1,MATCH(Parametres!$B$3,G$1:R$1,0))*IF(OR(F445="L",F445="S",F445="I"),-1,1)</f>
        <v>73648</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-12097.82</v>
      </c>
      <c r="AM446" s="905">
        <f t="shared" si="38"/>
        <v>2333.92</v>
      </c>
      <c r="AN446" s="905">
        <f>INDEX(G446:R446,1,MATCH(Parametres!$B$3,G$1:R$1,0))*IF(OR(F446="L",F446="S",F446="I"),-1,1)</f>
        <v>-9763.9</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0</v>
      </c>
      <c r="AM447" s="905">
        <f t="shared" si="38"/>
        <v>-17378.509999999998</v>
      </c>
      <c r="AN447" s="905">
        <f>INDEX(G447:R447,1,MATCH(Parametres!$B$3,G$1:R$1,0))*IF(OR(F447="L",F447="S",F447="I"),-1,1)</f>
        <v>-17378.509999999998</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-68506.27</v>
      </c>
      <c r="AM448" s="905">
        <f t="shared" si="38"/>
        <v>-12441.759999999995</v>
      </c>
      <c r="AN448" s="905">
        <f>INDEX(G448:R448,1,MATCH(Parametres!$B$3,G$1:R$1,0))*IF(OR(F448="L",F448="S",F448="I"),-1,1)</f>
        <v>-80948.03</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790518</v>
      </c>
      <c r="AM453" s="905">
        <f t="shared" si="44"/>
        <v>-542861.22</v>
      </c>
      <c r="AN453" s="905">
        <f>INDEX(G453:R453,1,MATCH(Parametres!$B$3,G$1:R$1,0))*IF(OR(F453="L",F453="S",F453="I"),-1,1)</f>
        <v>247656.78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632284</v>
      </c>
      <c r="AM455" s="905">
        <f t="shared" si="44"/>
        <v>-311520.27</v>
      </c>
      <c r="AN455" s="905">
        <f>INDEX(G455:R455,1,MATCH(Parametres!$B$3,G$1:R$1,0))*IF(OR(F455="L",F455="S",F455="I"),-1,1)</f>
        <v>320763.73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-4010.14</v>
      </c>
      <c r="AM461" s="905">
        <f t="shared" si="44"/>
        <v>-229.9699999999998</v>
      </c>
      <c r="AN461" s="905">
        <f>INDEX(G461:R461,1,MATCH(Parametres!$B$3,G$1:R$1,0))*IF(OR(F461="L",F461="S",F461="I"),-1,1)</f>
        <v>-4240.1099999999997</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-137697.79999999999</v>
      </c>
      <c r="AM462" s="905">
        <f t="shared" si="44"/>
        <v>-30467.660000000003</v>
      </c>
      <c r="AN462" s="905">
        <f>INDEX(G462:R462,1,MATCH(Parametres!$B$3,G$1:R$1,0))*IF(OR(F462="L",F462="S",F462="I"),-1,1)</f>
        <v>-168165.46</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-1200171.82</v>
      </c>
      <c r="AM463" s="905">
        <f t="shared" si="44"/>
        <v>-70038.479999999981</v>
      </c>
      <c r="AN463" s="905">
        <f>INDEX(G463:R463,1,MATCH(Parametres!$B$3,G$1:R$1,0))*IF(OR(F463="L",F463="S",F463="I"),-1,1)</f>
        <v>-1270210.3</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-753.66</v>
      </c>
      <c r="AM464" s="905">
        <f t="shared" si="44"/>
        <v>142.74</v>
      </c>
      <c r="AN464" s="905">
        <f>INDEX(G464:R464,1,MATCH(Parametres!$B$3,G$1:R$1,0))*IF(OR(F464="L",F464="S",F464="I"),-1,1)</f>
        <v>-610.91999999999996</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-16792.439999999999</v>
      </c>
      <c r="AM465" s="905">
        <f t="shared" si="44"/>
        <v>-4902.8900000000031</v>
      </c>
      <c r="AN465" s="905">
        <f>INDEX(G465:R465,1,MATCH(Parametres!$B$3,G$1:R$1,0))*IF(OR(F465="L",F465="S",F465="I"),-1,1)</f>
        <v>-21695.33</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-107129.27</v>
      </c>
      <c r="AM466" s="905">
        <f t="shared" si="44"/>
        <v>171553.27000000002</v>
      </c>
      <c r="AN466" s="905">
        <f>INDEX(G466:R466,1,MATCH(Parametres!$B$3,G$1:R$1,0))*IF(OR(F466="L",F466="S",F466="I"),-1,1)</f>
        <v>64424</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88317.21</v>
      </c>
      <c r="AM467" s="905">
        <f t="shared" si="44"/>
        <v>11801.799999999988</v>
      </c>
      <c r="AN467" s="905">
        <f>INDEX(G467:R467,1,MATCH(Parametres!$B$3,G$1:R$1,0))*IF(OR(F467="L",F467="S",F467="I"),-1,1)</f>
        <v>100119.01</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-15827.2</v>
      </c>
      <c r="AM468" s="905">
        <f t="shared" si="44"/>
        <v>-4488.4199999999983</v>
      </c>
      <c r="AN468" s="905">
        <f>INDEX(G468:R468,1,MATCH(Parametres!$B$3,G$1:R$1,0))*IF(OR(F468="L",F468="S",F468="I"),-1,1)</f>
        <v>-20315.62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-262953.65999999997</v>
      </c>
      <c r="AM470" s="905">
        <f t="shared" si="44"/>
        <v>1096.4499999999825</v>
      </c>
      <c r="AN470" s="905">
        <f>INDEX(G470:R470,1,MATCH(Parametres!$B$3,G$1:R$1,0))*IF(OR(F470="L",F470="S",F470="I"),-1,1)</f>
        <v>-261857.21</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-28181.69</v>
      </c>
      <c r="AM471" s="905">
        <f t="shared" si="44"/>
        <v>-8679.4300000000039</v>
      </c>
      <c r="AN471" s="905">
        <f>INDEX(G471:R471,1,MATCH(Parametres!$B$3,G$1:R$1,0))*IF(OR(F471="L",F471="S",F471="I"),-1,1)</f>
        <v>-36861.120000000003</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-121699.93</v>
      </c>
      <c r="AM472" s="905">
        <f t="shared" si="44"/>
        <v>-21688.679999999993</v>
      </c>
      <c r="AN472" s="905">
        <f>INDEX(G472:R472,1,MATCH(Parametres!$B$3,G$1:R$1,0))*IF(OR(F472="L",F472="S",F472="I"),-1,1)</f>
        <v>-143388.60999999999</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-113194.34</v>
      </c>
      <c r="AM473" s="905">
        <f t="shared" si="44"/>
        <v>0</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0</v>
      </c>
      <c r="AM474" s="905">
        <f t="shared" si="44"/>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0</v>
      </c>
      <c r="AM475" s="905">
        <f t="shared" si="44"/>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-9330</v>
      </c>
      <c r="AM477" s="905">
        <f t="shared" si="44"/>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-45750</v>
      </c>
      <c r="AM478" s="905">
        <f t="shared" si="44"/>
        <v>-4000</v>
      </c>
      <c r="AN478" s="905">
        <f>INDEX(G478:R478,1,MATCH(Parametres!$B$3,G$1:R$1,0))*IF(OR(F478="L",F478="S",F478="I"),-1,1)</f>
        <v>-49750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-106400</v>
      </c>
      <c r="AM479" s="905">
        <f t="shared" si="44"/>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-20300</v>
      </c>
      <c r="AM480" s="905">
        <f t="shared" si="44"/>
        <v>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-18579.099999999999</v>
      </c>
      <c r="AM482" s="905">
        <f t="shared" si="44"/>
        <v>-1125</v>
      </c>
      <c r="AN482" s="905">
        <f>INDEX(G482:R482,1,MATCH(Parametres!$B$3,G$1:R$1,0))*IF(OR(F482="L",F482="S",F482="I"),-1,1)</f>
        <v>-19704.099999999999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-1530</v>
      </c>
      <c r="AM484" s="905">
        <f t="shared" si="44"/>
        <v>32492</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-3697580.28</v>
      </c>
      <c r="AM485" s="905">
        <f t="shared" si="44"/>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101027</v>
      </c>
      <c r="AM486" s="905">
        <f t="shared" si="44"/>
        <v>-38240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-1359100.56</v>
      </c>
      <c r="AM488" s="905">
        <f t="shared" si="44"/>
        <v>-5029.8599999998696</v>
      </c>
      <c r="AN488" s="905">
        <f>INDEX(G488:R488,1,MATCH(Parametres!$B$3,G$1:R$1,0))*IF(OR(F488="L",F488="S",F488="I"),-1,1)</f>
        <v>-1364130.42</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-1887.27</v>
      </c>
      <c r="AM489" s="905">
        <f t="shared" si="44"/>
        <v>1386.6399999999999</v>
      </c>
      <c r="AN489" s="905">
        <f>INDEX(G489:R489,1,MATCH(Parametres!$B$3,G$1:R$1,0))*IF(OR(F489="L",F489="S",F489="I"),-1,1)</f>
        <v>-500.63</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-309224.55</v>
      </c>
      <c r="AM490" s="905">
        <f t="shared" si="44"/>
        <v>-824.96000000002095</v>
      </c>
      <c r="AN490" s="905">
        <f>INDEX(G490:R490,1,MATCH(Parametres!$B$3,G$1:R$1,0))*IF(OR(F490="L",F490="S",F490="I"),-1,1)</f>
        <v>-310049.51</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-64400.19</v>
      </c>
      <c r="AM491" s="905">
        <f t="shared" si="44"/>
        <v>-1739.3600000000006</v>
      </c>
      <c r="AN491" s="905">
        <f>INDEX(G491:R491,1,MATCH(Parametres!$B$3,G$1:R$1,0))*IF(OR(F491="L",F491="S",F491="I"),-1,1)</f>
        <v>-66139.55</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-45327.92</v>
      </c>
      <c r="AM492" s="905">
        <f t="shared" si="44"/>
        <v>-2190.1399999999994</v>
      </c>
      <c r="AN492" s="905">
        <f>INDEX(G492:R492,1,MATCH(Parametres!$B$3,G$1:R$1,0))*IF(OR(F492="L",F492="S",F492="I"),-1,1)</f>
        <v>-47518.06</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-181184.35</v>
      </c>
      <c r="AM493" s="905">
        <f t="shared" si="44"/>
        <v>-767.82000000000698</v>
      </c>
      <c r="AN493" s="905">
        <f>INDEX(G493:R493,1,MATCH(Parametres!$B$3,G$1:R$1,0))*IF(OR(F493="L",F493="S",F493="I"),-1,1)</f>
        <v>-181952.17</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-48291.5</v>
      </c>
      <c r="AM494" s="905">
        <f t="shared" si="44"/>
        <v>-139.7300000000032</v>
      </c>
      <c r="AN494" s="905">
        <f>INDEX(G494:R494,1,MATCH(Parametres!$B$3,G$1:R$1,0))*IF(OR(F494="L",F494="S",F494="I"),-1,1)</f>
        <v>-48431.23</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-185</v>
      </c>
      <c r="AM496" s="905">
        <f t="shared" si="44"/>
        <v>185</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0</v>
      </c>
      <c r="AM497" s="905">
        <f t="shared" si="44"/>
        <v>-15</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0</v>
      </c>
      <c r="AM498" s="905">
        <f t="shared" si="44"/>
        <v>-85</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0</v>
      </c>
      <c r="AM499" s="905">
        <f t="shared" si="44"/>
        <v>-85</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-3790100</v>
      </c>
      <c r="AM501" s="905">
        <f t="shared" si="44"/>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3790051</v>
      </c>
      <c r="AM502" s="905">
        <f t="shared" si="44"/>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-10113677.68</v>
      </c>
      <c r="AM503" s="905">
        <f t="shared" si="44"/>
        <v>1379732.6799999997</v>
      </c>
      <c r="AN503" s="905">
        <f>INDEX(G503:R503,1,MATCH(Parametres!$B$3,G$1:R$1,0))*IF(OR(F503="L",F503="S",F503="I"),-1,1)</f>
        <v>-8733945</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-353031</v>
      </c>
      <c r="AM517" s="905">
        <f t="shared" si="50"/>
        <v>-103533</v>
      </c>
      <c r="AN517" s="905">
        <f>INDEX(G517:R517,1,MATCH(Parametres!$B$3,G$1:R$1,0))*IF(OR(F517="L",F517="S",F517="I"),-1,1)</f>
        <v>-456564</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3</v>
      </c>
      <c r="AW517" s="899">
        <f t="shared" si="53"/>
        <v>1</v>
      </c>
      <c r="AX517" s="899">
        <f>INDEX(V517:AG517,1,MATCH(Parametres!$B$3,V$1:AG$1,0))*IF(OR(C517="L",C517="S",C517="I"),-1,1)</f>
        <v>4</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137</v>
      </c>
      <c r="AW531" s="899">
        <f t="shared" si="53"/>
        <v>24</v>
      </c>
      <c r="AX531" s="899">
        <f>INDEX(V531:AG531,1,MATCH(Parametres!$B$3,V$1:AG$1,0))*IF(OR(C531="L",C531="S",C531="I"),-1,1)</f>
        <v>161</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-288037.98</v>
      </c>
      <c r="AM538" s="905">
        <f t="shared" si="50"/>
        <v>-187382</v>
      </c>
      <c r="AN538" s="905">
        <f>INDEX(G538:R538,1,MATCH(Parametres!$B$3,G$1:R$1,0))*IF(OR(F538="L",F538="S",F538="I"),-1,1)</f>
        <v>-475419.98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7</v>
      </c>
      <c r="AW538" s="899">
        <f t="shared" si="53"/>
        <v>4</v>
      </c>
      <c r="AX538" s="899">
        <f>INDEX(V538:AG538,1,MATCH(Parametres!$B$3,V$1:AG$1,0))*IF(OR(C538="L",C538="S",C538="I"),-1,1)</f>
        <v>11</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-247600.31</v>
      </c>
      <c r="AM545" s="905">
        <f t="shared" si="50"/>
        <v>-186845.65999999997</v>
      </c>
      <c r="AN545" s="905">
        <f>INDEX(G545:R545,1,MATCH(Parametres!$B$3,G$1:R$1,0))*IF(OR(F545="L",F545="S",F545="I"),-1,1)</f>
        <v>-434445.97</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4</v>
      </c>
      <c r="AW545" s="899">
        <f t="shared" si="53"/>
        <v>3</v>
      </c>
      <c r="AX545" s="899">
        <f>INDEX(V545:AG545,1,MATCH(Parametres!$B$3,V$1:AG$1,0))*IF(OR(C545="L",C545="S",C545="I"),-1,1)</f>
        <v>7</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-224412.32</v>
      </c>
      <c r="AM546" s="905">
        <f t="shared" si="50"/>
        <v>-55483</v>
      </c>
      <c r="AN546" s="905">
        <f>INDEX(G546:R546,1,MATCH(Parametres!$B$3,G$1:R$1,0))*IF(OR(F546="L",F546="S",F546="I"),-1,1)</f>
        <v>-279895.32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4</v>
      </c>
      <c r="AW546" s="899">
        <f t="shared" si="53"/>
        <v>1</v>
      </c>
      <c r="AX546" s="899">
        <f>INDEX(V546:AG546,1,MATCH(Parametres!$B$3,V$1:AG$1,0))*IF(OR(C546="L",C546="S",C546="I"),-1,1)</f>
        <v>5</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-315660.46000000002</v>
      </c>
      <c r="AM547" s="905">
        <f t="shared" si="50"/>
        <v>0</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7</v>
      </c>
      <c r="AW547" s="899">
        <f t="shared" si="53"/>
        <v>0</v>
      </c>
      <c r="AX547" s="899">
        <f>INDEX(V547:AG547,1,MATCH(Parametres!$B$3,V$1:AG$1,0))*IF(OR(C547="L",C547="S",C547="I"),-1,1)</f>
        <v>7</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-338212.93</v>
      </c>
      <c r="AM548" s="905">
        <f t="shared" si="50"/>
        <v>0</v>
      </c>
      <c r="AN548" s="905">
        <f>INDEX(G548:R548,1,MATCH(Parametres!$B$3,G$1:R$1,0))*IF(OR(F548="L",F548="S",F548="I"),-1,1)</f>
        <v>-338212.93</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10</v>
      </c>
      <c r="AW548" s="899">
        <f t="shared" si="53"/>
        <v>0</v>
      </c>
      <c r="AX548" s="899">
        <f>INDEX(V548:AG548,1,MATCH(Parametres!$B$3,V$1:AG$1,0))*IF(OR(C548="L",C548="S",C548="I"),-1,1)</f>
        <v>10</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-119374.41</v>
      </c>
      <c r="AM550" s="905">
        <f t="shared" si="50"/>
        <v>0</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2</v>
      </c>
      <c r="AW550" s="899">
        <f t="shared" si="53"/>
        <v>0</v>
      </c>
      <c r="AX550" s="899">
        <f>INDEX(V550:AG550,1,MATCH(Parametres!$B$3,V$1:AG$1,0))*IF(OR(C550="L",C550="S",C550="I"),-1,1)</f>
        <v>2</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-66639.8</v>
      </c>
      <c r="AM551" s="905">
        <f t="shared" si="50"/>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1</v>
      </c>
      <c r="AW551" s="899">
        <f t="shared" si="53"/>
        <v>0</v>
      </c>
      <c r="AX551" s="899">
        <f>INDEX(V551:AG551,1,MATCH(Parametres!$B$3,V$1:AG$1,0))*IF(OR(C551="L",C551="S",C551="I"),-1,1)</f>
        <v>1</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-147501.49</v>
      </c>
      <c r="AM552" s="905">
        <f t="shared" si="50"/>
        <v>0</v>
      </c>
      <c r="AN552" s="905">
        <f>INDEX(G552:R552,1,MATCH(Parametres!$B$3,G$1:R$1,0))*IF(OR(F552="L",F552="S",F552="I"),-1,1)</f>
        <v>-147501.49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4</v>
      </c>
      <c r="AW552" s="899">
        <f t="shared" si="53"/>
        <v>0</v>
      </c>
      <c r="AX552" s="899">
        <f>INDEX(V552:AG552,1,MATCH(Parametres!$B$3,V$1:AG$1,0))*IF(OR(C552="L",C552="S",C552="I"),-1,1)</f>
        <v>4</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-465524.99</v>
      </c>
      <c r="AM554" s="905">
        <f t="shared" si="50"/>
        <v>-61547</v>
      </c>
      <c r="AN554" s="905">
        <f>INDEX(G554:R554,1,MATCH(Parametres!$B$3,G$1:R$1,0))*IF(OR(F554="L",F554="S",F554="I"),-1,1)</f>
        <v>-527071.99</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15</v>
      </c>
      <c r="AW554" s="899">
        <f t="shared" si="53"/>
        <v>2</v>
      </c>
      <c r="AX554" s="899">
        <f>INDEX(V554:AG554,1,MATCH(Parametres!$B$3,V$1:AG$1,0))*IF(OR(C554="L",C554="S",C554="I"),-1,1)</f>
        <v>17</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-981031.34</v>
      </c>
      <c r="AM555" s="905">
        <f t="shared" si="50"/>
        <v>-264611.00000000012</v>
      </c>
      <c r="AN555" s="905">
        <f>INDEX(G555:R555,1,MATCH(Parametres!$B$3,G$1:R$1,0))*IF(OR(F555="L",F555="S",F555="I"),-1,1)</f>
        <v>-1245642.3400000001</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11</v>
      </c>
      <c r="AW555" s="899">
        <f t="shared" si="53"/>
        <v>3</v>
      </c>
      <c r="AX555" s="899">
        <f>INDEX(V555:AG555,1,MATCH(Parametres!$B$3,V$1:AG$1,0))*IF(OR(C555="L",C555="S",C555="I"),-1,1)</f>
        <v>14</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-3294811.35</v>
      </c>
      <c r="AM556" s="905">
        <f t="shared" si="50"/>
        <v>-1031536.8999999999</v>
      </c>
      <c r="AN556" s="905">
        <f>INDEX(G556:R556,1,MATCH(Parametres!$B$3,G$1:R$1,0))*IF(OR(F556="L",F556="S",F556="I"),-1,1)</f>
        <v>-4326348.25</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45</v>
      </c>
      <c r="AW556" s="899">
        <f t="shared" si="53"/>
        <v>14</v>
      </c>
      <c r="AX556" s="899">
        <f>INDEX(V556:AG556,1,MATCH(Parametres!$B$3,V$1:AG$1,0))*IF(OR(C556="L",C556="S",C556="I"),-1,1)</f>
        <v>59</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-314062.01</v>
      </c>
      <c r="AM557" s="905">
        <f t="shared" si="50"/>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3</v>
      </c>
      <c r="AW557" s="899">
        <f t="shared" si="53"/>
        <v>0</v>
      </c>
      <c r="AX557" s="899">
        <f>INDEX(V557:AG557,1,MATCH(Parametres!$B$3,V$1:AG$1,0))*IF(OR(C557="L",C557="S",C557="I"),-1,1)</f>
        <v>3</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-1023599.54</v>
      </c>
      <c r="AM558" s="905">
        <f t="shared" si="50"/>
        <v>-109721.5</v>
      </c>
      <c r="AN558" s="905">
        <f>INDEX(G558:R558,1,MATCH(Parametres!$B$3,G$1:R$1,0))*IF(OR(F558="L",F558="S",F558="I"),-1,1)</f>
        <v>-1133321.04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10</v>
      </c>
      <c r="AW558" s="899">
        <f t="shared" si="53"/>
        <v>1</v>
      </c>
      <c r="AX558" s="899">
        <f>INDEX(V558:AG558,1,MATCH(Parametres!$B$3,V$1:AG$1,0))*IF(OR(C558="L",C558="S",C558="I"),-1,1)</f>
        <v>11</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-1560491.01</v>
      </c>
      <c r="AM560" s="905">
        <f t="shared" si="50"/>
        <v>-104952.19999999995</v>
      </c>
      <c r="AN560" s="905">
        <f>INDEX(G560:R560,1,MATCH(Parametres!$B$3,G$1:R$1,0))*IF(OR(F560="L",F560="S",F560="I"),-1,1)</f>
        <v>-1665443.21</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16</v>
      </c>
      <c r="AW560" s="899">
        <f t="shared" si="53"/>
        <v>1</v>
      </c>
      <c r="AX560" s="899">
        <f>INDEX(V560:AG560,1,MATCH(Parametres!$B$3,V$1:AG$1,0))*IF(OR(C560="L",C560="S",C560="I"),-1,1)</f>
        <v>17</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-3641867.79</v>
      </c>
      <c r="AM561" s="905">
        <f t="shared" si="50"/>
        <v>-798502.12000000011</v>
      </c>
      <c r="AN561" s="905">
        <f>INDEX(G561:R561,1,MATCH(Parametres!$B$3,G$1:R$1,0))*IF(OR(F561="L",F561="S",F561="I"),-1,1)</f>
        <v>-4440369.91</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48</v>
      </c>
      <c r="AW561" s="899">
        <f t="shared" si="53"/>
        <v>10</v>
      </c>
      <c r="AX561" s="899">
        <f>INDEX(V561:AG561,1,MATCH(Parametres!$B$3,V$1:AG$1,0))*IF(OR(C561="L",C561="S",C561="I"),-1,1)</f>
        <v>58</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-589814.81000000006</v>
      </c>
      <c r="AM562" s="905">
        <f t="shared" si="50"/>
        <v>-221713</v>
      </c>
      <c r="AN562" s="905">
        <f>INDEX(G562:R562,1,MATCH(Parametres!$B$3,G$1:R$1,0))*IF(OR(F562="L",F562="S",F562="I"),-1,1)</f>
        <v>-811527.81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5</v>
      </c>
      <c r="AW562" s="899">
        <f t="shared" si="53"/>
        <v>2</v>
      </c>
      <c r="AX562" s="899">
        <f>INDEX(V562:AG562,1,MATCH(Parametres!$B$3,V$1:AG$1,0))*IF(OR(C562="L",C562="S",C562="I"),-1,1)</f>
        <v>7</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0</v>
      </c>
      <c r="AM564" s="905">
        <f t="shared" si="50"/>
        <v>-92577.91</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0</v>
      </c>
      <c r="AW564" s="899">
        <f t="shared" si="53"/>
        <v>1</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-1837337.96</v>
      </c>
      <c r="AM565" s="905">
        <f t="shared" si="50"/>
        <v>-624439.64999999991</v>
      </c>
      <c r="AN565" s="905">
        <f>INDEX(G565:R565,1,MATCH(Parametres!$B$3,G$1:R$1,0))*IF(OR(F565="L",F565="S",F565="I"),-1,1)</f>
        <v>-2461777.61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16</v>
      </c>
      <c r="AW565" s="899">
        <f t="shared" si="53"/>
        <v>6</v>
      </c>
      <c r="AX565" s="899">
        <f>INDEX(V565:AG565,1,MATCH(Parametres!$B$3,V$1:AG$1,0))*IF(OR(C565="L",C565="S",C565="I"),-1,1)</f>
        <v>22</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-203473.38</v>
      </c>
      <c r="AM568" s="905">
        <f t="shared" si="50"/>
        <v>-128137</v>
      </c>
      <c r="AN568" s="905">
        <f>INDEX(G568:R568,1,MATCH(Parametres!$B$3,G$1:R$1,0))*IF(OR(F568="L",F568="S",F568="I"),-1,1)</f>
        <v>-331610.38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3</v>
      </c>
      <c r="AW568" s="899">
        <f t="shared" si="53"/>
        <v>2</v>
      </c>
      <c r="AX568" s="899">
        <f>INDEX(V568:AG568,1,MATCH(Parametres!$B$3,V$1:AG$1,0))*IF(OR(C568="L",C568="S",C568="I"),-1,1)</f>
        <v>5</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-199139.49</v>
      </c>
      <c r="AM570" s="905">
        <f t="shared" si="50"/>
        <v>-82875.5</v>
      </c>
      <c r="AN570" s="905">
        <f>INDEX(G570:R570,1,MATCH(Parametres!$B$3,G$1:R$1,0))*IF(OR(F570="L",F570="S",F570="I"),-1,1)</f>
        <v>-282014.99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5</v>
      </c>
      <c r="AW570" s="899">
        <f t="shared" si="53"/>
        <v>2</v>
      </c>
      <c r="AX570" s="899">
        <f>INDEX(V570:AG570,1,MATCH(Parametres!$B$3,V$1:AG$1,0))*IF(OR(C570="L",C570="S",C570="I"),-1,1)</f>
        <v>7</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-3206445.36</v>
      </c>
      <c r="AM571" s="905">
        <f t="shared" si="50"/>
        <v>-1027598.5100000002</v>
      </c>
      <c r="AN571" s="905">
        <f>INDEX(G571:R571,1,MATCH(Parametres!$B$3,G$1:R$1,0))*IF(OR(F571="L",F571="S",F571="I"),-1,1)</f>
        <v>-4234043.87</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61</v>
      </c>
      <c r="AW571" s="899">
        <f t="shared" si="53"/>
        <v>20</v>
      </c>
      <c r="AX571" s="899">
        <f>INDEX(V571:AG571,1,MATCH(Parametres!$B$3,V$1:AG$1,0))*IF(OR(C571="L",C571="S",C571="I"),-1,1)</f>
        <v>81</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-583324.05000000005</v>
      </c>
      <c r="AM574" s="905">
        <f t="shared" si="50"/>
        <v>-139220.5</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5</v>
      </c>
      <c r="AW574" s="899">
        <f t="shared" si="53"/>
        <v>1</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-166398.68</v>
      </c>
      <c r="AM576" s="905">
        <f t="shared" si="50"/>
        <v>-74190.580000000016</v>
      </c>
      <c r="AN576" s="905">
        <f>INDEX(G576:R576,1,MATCH(Parametres!$B$3,G$1:R$1,0))*IF(OR(F576="L",F576="S",F576="I"),-1,1)</f>
        <v>-240589.26</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5</v>
      </c>
      <c r="AW576" s="899">
        <f t="shared" si="53"/>
        <v>2</v>
      </c>
      <c r="AX576" s="899">
        <f>INDEX(V576:AG576,1,MATCH(Parametres!$B$3,V$1:AG$1,0))*IF(OR(C576="L",C576="S",C576="I"),-1,1)</f>
        <v>7</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-133871</v>
      </c>
      <c r="AM577" s="905">
        <f t="shared" si="50"/>
        <v>-63889</v>
      </c>
      <c r="AN577" s="905">
        <f>INDEX(G577:R577,1,MATCH(Parametres!$B$3,G$1:R$1,0))*IF(OR(F577="L",F577="S",F577="I"),-1,1)</f>
        <v>-197760</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2</v>
      </c>
      <c r="AW577" s="899">
        <f t="shared" si="53"/>
        <v>1</v>
      </c>
      <c r="AX577" s="899">
        <f>INDEX(V577:AG577,1,MATCH(Parametres!$B$3,V$1:AG$1,0))*IF(OR(C577="L",C577="S",C577="I"),-1,1)</f>
        <v>3</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-45128401.799999997</v>
      </c>
      <c r="AM580" s="905">
        <f t="shared" ref="AM580:AM643" si="56">AN580-AL580</f>
        <v>-13274227.350000001</v>
      </c>
      <c r="AN580" s="905">
        <f>INDEX(G580:R580,1,MATCH(Parametres!$B$3,G$1:R$1,0))*IF(OR(F580="L",F580="S",F580="I"),-1,1)</f>
        <v>-58402629.149999999</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793</v>
      </c>
      <c r="AW580" s="899">
        <f t="shared" ref="AW580:AW643" si="59">AX580-AV580</f>
        <v>230</v>
      </c>
      <c r="AX580" s="899">
        <f>INDEX(V580:AG580,1,MATCH(Parametres!$B$3,V$1:AG$1,0))*IF(OR(C580="L",C580="S",C580="I"),-1,1)</f>
        <v>1023</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-377401.86</v>
      </c>
      <c r="AM582" s="905">
        <f t="shared" si="56"/>
        <v>-97316</v>
      </c>
      <c r="AN582" s="905">
        <f>INDEX(G582:R582,1,MATCH(Parametres!$B$3,G$1:R$1,0))*IF(OR(F582="L",F582="S",F582="I"),-1,1)</f>
        <v>-474717.86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116</v>
      </c>
      <c r="AW582" s="899">
        <f t="shared" si="59"/>
        <v>27</v>
      </c>
      <c r="AX582" s="899">
        <f>INDEX(V582:AG582,1,MATCH(Parametres!$B$3,V$1:AG$1,0))*IF(OR(C582="L",C582="S",C582="I"),-1,1)</f>
        <v>143</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-1598</v>
      </c>
      <c r="AM584" s="905">
        <f t="shared" si="56"/>
        <v>-899</v>
      </c>
      <c r="AN584" s="905">
        <f>INDEX(G584:R584,1,MATCH(Parametres!$B$3,G$1:R$1,0))*IF(OR(F584="L",F584="S",F584="I"),-1,1)</f>
        <v>-2497</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2</v>
      </c>
      <c r="AW584" s="899">
        <f t="shared" si="59"/>
        <v>1</v>
      </c>
      <c r="AX584" s="899">
        <f>INDEX(V584:AG584,1,MATCH(Parametres!$B$3,V$1:AG$1,0))*IF(OR(C584="L",C584="S",C584="I"),-1,1)</f>
        <v>3</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-13226</v>
      </c>
      <c r="AM585" s="905">
        <f t="shared" si="56"/>
        <v>-9014</v>
      </c>
      <c r="AN585" s="905">
        <f>INDEX(G585:R585,1,MATCH(Parametres!$B$3,G$1:R$1,0))*IF(OR(F585="L",F585="S",F585="I"),-1,1)</f>
        <v>-22240</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17</v>
      </c>
      <c r="AW585" s="899">
        <f t="shared" si="59"/>
        <v>16</v>
      </c>
      <c r="AX585" s="899">
        <f>INDEX(V585:AG585,1,MATCH(Parametres!$B$3,V$1:AG$1,0))*IF(OR(C585="L",C585="S",C585="I"),-1,1)</f>
        <v>33</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-39828</v>
      </c>
      <c r="AM586" s="905">
        <f t="shared" si="56"/>
        <v>-6788</v>
      </c>
      <c r="AN586" s="905">
        <f>INDEX(G586:R586,1,MATCH(Parametres!$B$3,G$1:R$1,0))*IF(OR(F586="L",F586="S",F586="I"),-1,1)</f>
        <v>-46616</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14</v>
      </c>
      <c r="AW586" s="899">
        <f t="shared" si="59"/>
        <v>2</v>
      </c>
      <c r="AX586" s="899">
        <f>INDEX(V586:AG586,1,MATCH(Parametres!$B$3,V$1:AG$1,0))*IF(OR(C586="L",C586="S",C586="I"),-1,1)</f>
        <v>16</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-18953</v>
      </c>
      <c r="AM587" s="905">
        <f t="shared" si="56"/>
        <v>-3746</v>
      </c>
      <c r="AN587" s="905">
        <f>INDEX(G587:R587,1,MATCH(Parametres!$B$3,G$1:R$1,0))*IF(OR(F587="L",F587="S",F587="I"),-1,1)</f>
        <v>-22699</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43</v>
      </c>
      <c r="AW587" s="899">
        <f t="shared" si="59"/>
        <v>9</v>
      </c>
      <c r="AX587" s="899">
        <f>INDEX(V587:AG587,1,MATCH(Parametres!$B$3,V$1:AG$1,0))*IF(OR(C587="L",C587="S",C587="I"),-1,1)</f>
        <v>52</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-561025.56000000006</v>
      </c>
      <c r="AM589" s="905">
        <f t="shared" si="56"/>
        <v>-66954.949999999953</v>
      </c>
      <c r="AN589" s="905">
        <f>INDEX(G589:R589,1,MATCH(Parametres!$B$3,G$1:R$1,0))*IF(OR(F589="L",F589="S",F589="I"),-1,1)</f>
        <v>-627980.51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17</v>
      </c>
      <c r="AW589" s="899">
        <f t="shared" si="59"/>
        <v>3</v>
      </c>
      <c r="AX589" s="899">
        <f>INDEX(V589:AG589,1,MATCH(Parametres!$B$3,V$1:AG$1,0))*IF(OR(C589="L",C589="S",C589="I"),-1,1)</f>
        <v>20</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-839418.87</v>
      </c>
      <c r="AM594" s="905">
        <f t="shared" si="56"/>
        <v>-50700</v>
      </c>
      <c r="AN594" s="905">
        <f>INDEX(G594:R594,1,MATCH(Parametres!$B$3,G$1:R$1,0))*IF(OR(F594="L",F594="S",F594="I"),-1,1)</f>
        <v>-890118.87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39</v>
      </c>
      <c r="AW594" s="899">
        <f t="shared" si="59"/>
        <v>6</v>
      </c>
      <c r="AX594" s="899">
        <f>INDEX(V594:AG594,1,MATCH(Parametres!$B$3,V$1:AG$1,0))*IF(OR(C594="L",C594="S",C594="I"),-1,1)</f>
        <v>45</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-509648.11</v>
      </c>
      <c r="AM597" s="905">
        <f t="shared" si="56"/>
        <v>-67869.219999999972</v>
      </c>
      <c r="AN597" s="905">
        <f>INDEX(G597:R597,1,MATCH(Parametres!$B$3,G$1:R$1,0))*IF(OR(F597="L",F597="S",F597="I"),-1,1)</f>
        <v>-577517.32999999996</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19</v>
      </c>
      <c r="AW597" s="899">
        <f t="shared" si="59"/>
        <v>2</v>
      </c>
      <c r="AX597" s="899">
        <f>INDEX(V597:AG597,1,MATCH(Parametres!$B$3,V$1:AG$1,0))*IF(OR(C597="L",C597="S",C597="I"),-1,1)</f>
        <v>21</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-8521104.5500000007</v>
      </c>
      <c r="AM602" s="905">
        <f t="shared" si="56"/>
        <v>-3652253.5199999996</v>
      </c>
      <c r="AN602" s="905">
        <f>INDEX(G602:R602,1,MATCH(Parametres!$B$3,G$1:R$1,0))*IF(OR(F602="L",F602="S",F602="I"),-1,1)</f>
        <v>-12173358.07</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232</v>
      </c>
      <c r="AW602" s="899">
        <f t="shared" si="59"/>
        <v>73</v>
      </c>
      <c r="AX602" s="899">
        <f>INDEX(V602:AG602,1,MATCH(Parametres!$B$3,V$1:AG$1,0))*IF(OR(C602="L",C602="S",C602="I"),-1,1)</f>
        <v>305</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-12815770</v>
      </c>
      <c r="AM603" s="905">
        <f t="shared" si="56"/>
        <v>-1425400</v>
      </c>
      <c r="AN603" s="905">
        <f>INDEX(G603:R603,1,MATCH(Parametres!$B$3,G$1:R$1,0))*IF(OR(F603="L",F603="S",F603="I"),-1,1)</f>
        <v>-14241170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113</v>
      </c>
      <c r="AW603" s="899">
        <f t="shared" si="59"/>
        <v>9</v>
      </c>
      <c r="AX603" s="899">
        <f>INDEX(V603:AG603,1,MATCH(Parametres!$B$3,V$1:AG$1,0))*IF(OR(C603="L",C603="S",C603="I"),-1,1)</f>
        <v>122</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-72371</v>
      </c>
      <c r="AM605" s="905">
        <f t="shared" si="56"/>
        <v>0</v>
      </c>
      <c r="AN605" s="905">
        <f>INDEX(G605:R605,1,MATCH(Parametres!$B$3,G$1:R$1,0))*IF(OR(F605="L",F605="S",F605="I"),-1,1)</f>
        <v>-72371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22</v>
      </c>
      <c r="AW605" s="899">
        <f t="shared" si="59"/>
        <v>0</v>
      </c>
      <c r="AX605" s="899">
        <f>INDEX(V605:AG605,1,MATCH(Parametres!$B$3,V$1:AG$1,0))*IF(OR(C605="L",C605="S",C605="I"),-1,1)</f>
        <v>22</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-4849</v>
      </c>
      <c r="AM607" s="905">
        <f t="shared" si="56"/>
        <v>0</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3</v>
      </c>
      <c r="AW607" s="899">
        <f t="shared" si="59"/>
        <v>0</v>
      </c>
      <c r="AX607" s="899">
        <f>INDEX(V607:AG607,1,MATCH(Parametres!$B$3,V$1:AG$1,0))*IF(OR(C607="L",C607="S",C607="I"),-1,1)</f>
        <v>3</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-15602569.17</v>
      </c>
      <c r="AM610" s="905">
        <f t="shared" si="56"/>
        <v>-5578156.459999999</v>
      </c>
      <c r="AN610" s="905">
        <f>INDEX(G610:R610,1,MATCH(Parametres!$B$3,G$1:R$1,0))*IF(OR(F610="L",F610="S",F610="I"),-1,1)</f>
        <v>-21180725.629999999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290</v>
      </c>
      <c r="AW610" s="899">
        <f t="shared" si="59"/>
        <v>97</v>
      </c>
      <c r="AX610" s="899">
        <f>INDEX(V610:AG610,1,MATCH(Parametres!$B$3,V$1:AG$1,0))*IF(OR(C610="L",C610="S",C610="I"),-1,1)</f>
        <v>387</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-389766.51</v>
      </c>
      <c r="AM611" s="905">
        <f t="shared" si="56"/>
        <v>-74285.520000000019</v>
      </c>
      <c r="AN611" s="905">
        <f>INDEX(G611:R611,1,MATCH(Parametres!$B$3,G$1:R$1,0))*IF(OR(F611="L",F611="S",F611="I"),-1,1)</f>
        <v>-464052.03</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1017</v>
      </c>
      <c r="AW611" s="899">
        <f t="shared" si="59"/>
        <v>189</v>
      </c>
      <c r="AX611" s="899">
        <f>INDEX(V611:AG611,1,MATCH(Parametres!$B$3,V$1:AG$1,0))*IF(OR(C611="L",C611="S",C611="I"),-1,1)</f>
        <v>1206</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-55263.53</v>
      </c>
      <c r="AM614" s="905">
        <f t="shared" si="56"/>
        <v>-6088.2000000000044</v>
      </c>
      <c r="AN614" s="905">
        <f>INDEX(G614:R614,1,MATCH(Parametres!$B$3,G$1:R$1,0))*IF(OR(F614="L",F614="S",F614="I"),-1,1)</f>
        <v>-61351.73</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289</v>
      </c>
      <c r="AW614" s="899">
        <f t="shared" si="59"/>
        <v>21</v>
      </c>
      <c r="AX614" s="899">
        <f>INDEX(V614:AG614,1,MATCH(Parametres!$B$3,V$1:AG$1,0))*IF(OR(C614="L",C614="S",C614="I"),-1,1)</f>
        <v>310</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-445138.99</v>
      </c>
      <c r="AM615" s="905">
        <f t="shared" si="56"/>
        <v>-79714.150000000023</v>
      </c>
      <c r="AN615" s="905">
        <f>INDEX(G615:R615,1,MATCH(Parametres!$B$3,G$1:R$1,0))*IF(OR(F615="L",F615="S",F615="I"),-1,1)</f>
        <v>-524853.14</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2985</v>
      </c>
      <c r="AW615" s="899">
        <f t="shared" si="59"/>
        <v>546</v>
      </c>
      <c r="AX615" s="899">
        <f>INDEX(V615:AG615,1,MATCH(Parametres!$B$3,V$1:AG$1,0))*IF(OR(C615="L",C615="S",C615="I"),-1,1)</f>
        <v>3531</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-260162.71</v>
      </c>
      <c r="AM618" s="905">
        <f t="shared" si="56"/>
        <v>-52490.790000000008</v>
      </c>
      <c r="AN618" s="905">
        <f>INDEX(G618:R618,1,MATCH(Parametres!$B$3,G$1:R$1,0))*IF(OR(F618="L",F618="S",F618="I"),-1,1)</f>
        <v>-312653.5</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1634</v>
      </c>
      <c r="AW618" s="899">
        <f t="shared" si="59"/>
        <v>377</v>
      </c>
      <c r="AX618" s="899">
        <f>INDEX(V618:AG618,1,MATCH(Parametres!$B$3,V$1:AG$1,0))*IF(OR(C618="L",C618="S",C618="I"),-1,1)</f>
        <v>2011</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-208713.58</v>
      </c>
      <c r="AM619" s="905">
        <f t="shared" si="56"/>
        <v>-40276.420000000013</v>
      </c>
      <c r="AN619" s="905">
        <f>INDEX(G619:R619,1,MATCH(Parametres!$B$3,G$1:R$1,0))*IF(OR(F619="L",F619="S",F619="I"),-1,1)</f>
        <v>-248990</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1707</v>
      </c>
      <c r="AW619" s="899">
        <f t="shared" si="59"/>
        <v>355</v>
      </c>
      <c r="AX619" s="899">
        <f>INDEX(V619:AG619,1,MATCH(Parametres!$B$3,V$1:AG$1,0))*IF(OR(C619="L",C619="S",C619="I"),-1,1)</f>
        <v>2062</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-1650</v>
      </c>
      <c r="AM620" s="905">
        <f t="shared" si="56"/>
        <v>-1500</v>
      </c>
      <c r="AN620" s="905">
        <f>INDEX(G620:R620,1,MATCH(Parametres!$B$3,G$1:R$1,0))*IF(OR(F620="L",F620="S",F620="I"),-1,1)</f>
        <v>-3150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14</v>
      </c>
      <c r="AW620" s="899">
        <f t="shared" si="59"/>
        <v>13</v>
      </c>
      <c r="AX620" s="899">
        <f>INDEX(V620:AG620,1,MATCH(Parametres!$B$3,V$1:AG$1,0))*IF(OR(C620="L",C620="S",C620="I"),-1,1)</f>
        <v>27</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-166283.57</v>
      </c>
      <c r="AM621" s="905">
        <f t="shared" si="56"/>
        <v>-50627.94</v>
      </c>
      <c r="AN621" s="905">
        <f>INDEX(G621:R621,1,MATCH(Parametres!$B$3,G$1:R$1,0))*IF(OR(F621="L",F621="S",F621="I"),-1,1)</f>
        <v>-216911.51</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1107</v>
      </c>
      <c r="AW621" s="899">
        <f t="shared" si="59"/>
        <v>336</v>
      </c>
      <c r="AX621" s="899">
        <f>INDEX(V621:AG621,1,MATCH(Parametres!$B$3,V$1:AG$1,0))*IF(OR(C621="L",C621="S",C621="I"),-1,1)</f>
        <v>1443</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-93001.79</v>
      </c>
      <c r="AM624" s="905">
        <f t="shared" si="56"/>
        <v>-31251.180000000008</v>
      </c>
      <c r="AN624" s="905">
        <f>INDEX(G624:R624,1,MATCH(Parametres!$B$3,G$1:R$1,0))*IF(OR(F624="L",F624="S",F624="I"),-1,1)</f>
        <v>-124252.97</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236</v>
      </c>
      <c r="AW624" s="899">
        <f t="shared" si="59"/>
        <v>62</v>
      </c>
      <c r="AX624" s="899">
        <f>INDEX(V624:AG624,1,MATCH(Parametres!$B$3,V$1:AG$1,0))*IF(OR(C624="L",C624="S",C624="I"),-1,1)</f>
        <v>298</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-307613.48</v>
      </c>
      <c r="AM627" s="905">
        <f t="shared" si="56"/>
        <v>-50774.790000000037</v>
      </c>
      <c r="AN627" s="905">
        <f>INDEX(G627:R627,1,MATCH(Parametres!$B$3,G$1:R$1,0))*IF(OR(F627="L",F627="S",F627="I"),-1,1)</f>
        <v>-358388.27</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911</v>
      </c>
      <c r="AW627" s="899">
        <f t="shared" si="59"/>
        <v>190</v>
      </c>
      <c r="AX627" s="899">
        <f>INDEX(V627:AG627,1,MATCH(Parametres!$B$3,V$1:AG$1,0))*IF(OR(C627="L",C627="S",C627="I"),-1,1)</f>
        <v>1101</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-12324.39</v>
      </c>
      <c r="AM633" s="905">
        <f t="shared" si="56"/>
        <v>-3811</v>
      </c>
      <c r="AN633" s="905">
        <f>INDEX(G633:R633,1,MATCH(Parametres!$B$3,G$1:R$1,0))*IF(OR(F633="L",F633="S",F633="I"),-1,1)</f>
        <v>-16135.39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1187</v>
      </c>
      <c r="AW633" s="899">
        <f t="shared" si="59"/>
        <v>354</v>
      </c>
      <c r="AX633" s="899">
        <f>INDEX(V633:AG633,1,MATCH(Parametres!$B$3,V$1:AG$1,0))*IF(OR(C633="L",C633="S",C633="I"),-1,1)</f>
        <v>1541</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-231135.67</v>
      </c>
      <c r="AM635" s="905">
        <f t="shared" si="56"/>
        <v>-42485.899999999994</v>
      </c>
      <c r="AN635" s="905">
        <f>INDEX(G635:R635,1,MATCH(Parametres!$B$3,G$1:R$1,0))*IF(OR(F635="L",F635="S",F635="I"),-1,1)</f>
        <v>-273621.57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174</v>
      </c>
      <c r="AW635" s="899">
        <f t="shared" si="59"/>
        <v>33</v>
      </c>
      <c r="AX635" s="899">
        <f>INDEX(V635:AG635,1,MATCH(Parametres!$B$3,V$1:AG$1,0))*IF(OR(C635="L",C635="S",C635="I"),-1,1)</f>
        <v>207</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-301.60000000000002</v>
      </c>
      <c r="AM636" s="905">
        <f t="shared" si="56"/>
        <v>-239.19999999999993</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1</v>
      </c>
      <c r="AW636" s="899">
        <f t="shared" si="59"/>
        <v>1</v>
      </c>
      <c r="AX636" s="899">
        <f>INDEX(V636:AG636,1,MATCH(Parametres!$B$3,V$1:AG$1,0))*IF(OR(C636="L",C636="S",C636="I"),-1,1)</f>
        <v>2</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-14166.73</v>
      </c>
      <c r="AM637" s="905">
        <f t="shared" si="56"/>
        <v>-5239.1700000000019</v>
      </c>
      <c r="AN637" s="905">
        <f>INDEX(G637:R637,1,MATCH(Parametres!$B$3,G$1:R$1,0))*IF(OR(F637="L",F637="S",F637="I"),-1,1)</f>
        <v>-19405.900000000001</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21</v>
      </c>
      <c r="AW637" s="899">
        <f t="shared" si="59"/>
        <v>8</v>
      </c>
      <c r="AX637" s="899">
        <f>INDEX(V637:AG637,1,MATCH(Parametres!$B$3,V$1:AG$1,0))*IF(OR(C637="L",C637="S",C637="I"),-1,1)</f>
        <v>29</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-393493.06</v>
      </c>
      <c r="AM639" s="905">
        <f t="shared" si="56"/>
        <v>-70380.56</v>
      </c>
      <c r="AN639" s="905">
        <f>INDEX(G639:R639,1,MATCH(Parametres!$B$3,G$1:R$1,0))*IF(OR(F639="L",F639="S",F639="I"),-1,1)</f>
        <v>-463873.62</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192</v>
      </c>
      <c r="AW639" s="899">
        <f t="shared" si="59"/>
        <v>27</v>
      </c>
      <c r="AX639" s="899">
        <f>INDEX(V639:AG639,1,MATCH(Parametres!$B$3,V$1:AG$1,0))*IF(OR(C639="L",C639="S",C639="I"),-1,1)</f>
        <v>219</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-18.350000000000001</v>
      </c>
      <c r="AM640" s="905">
        <f t="shared" si="56"/>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1</v>
      </c>
      <c r="AW640" s="899">
        <f t="shared" si="59"/>
        <v>0</v>
      </c>
      <c r="AX640" s="899">
        <f>INDEX(V640:AG640,1,MATCH(Parametres!$B$3,V$1:AG$1,0))*IF(OR(C640="L",C640="S",C640="I"),-1,1)</f>
        <v>1</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-79431.759999999995</v>
      </c>
      <c r="AM643" s="905">
        <f t="shared" si="56"/>
        <v>-21764.25</v>
      </c>
      <c r="AN643" s="905">
        <f>INDEX(G643:R643,1,MATCH(Parametres!$B$3,G$1:R$1,0))*IF(OR(F643="L",F643="S",F643="I"),-1,1)</f>
        <v>-101196.01</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176</v>
      </c>
      <c r="AW643" s="899">
        <f t="shared" si="59"/>
        <v>37</v>
      </c>
      <c r="AX643" s="899">
        <f>INDEX(V643:AG643,1,MATCH(Parametres!$B$3,V$1:AG$1,0))*IF(OR(C643="L",C643="S",C643="I"),-1,1)</f>
        <v>213</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-267103.39</v>
      </c>
      <c r="AM644" s="905">
        <f t="shared" ref="AM644:AM707" si="62">AN644-AL644</f>
        <v>-65686.729999999981</v>
      </c>
      <c r="AN644" s="905">
        <f>INDEX(G644:R644,1,MATCH(Parametres!$B$3,G$1:R$1,0))*IF(OR(F644="L",F644="S",F644="I"),-1,1)</f>
        <v>-332790.12</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973</v>
      </c>
      <c r="AW644" s="899">
        <f t="shared" ref="AW644:AW707" si="65">AX644-AV644</f>
        <v>202</v>
      </c>
      <c r="AX644" s="899">
        <f>INDEX(V644:AG644,1,MATCH(Parametres!$B$3,V$1:AG$1,0))*IF(OR(C644="L",C644="S",C644="I"),-1,1)</f>
        <v>1175</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-359974.49</v>
      </c>
      <c r="AM646" s="905">
        <f t="shared" si="62"/>
        <v>-43048.570000000007</v>
      </c>
      <c r="AN646" s="905">
        <f>INDEX(G646:R646,1,MATCH(Parametres!$B$3,G$1:R$1,0))*IF(OR(F646="L",F646="S",F646="I"),-1,1)</f>
        <v>-403023.06</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901</v>
      </c>
      <c r="AW646" s="899">
        <f t="shared" si="65"/>
        <v>223</v>
      </c>
      <c r="AX646" s="899">
        <f>INDEX(V646:AG646,1,MATCH(Parametres!$B$3,V$1:AG$1,0))*IF(OR(C646="L",C646="S",C646="I"),-1,1)</f>
        <v>1124</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-154573.35999999999</v>
      </c>
      <c r="AM648" s="905">
        <f t="shared" si="62"/>
        <v>-30596.850000000006</v>
      </c>
      <c r="AN648" s="905">
        <f>INDEX(G648:R648,1,MATCH(Parametres!$B$3,G$1:R$1,0))*IF(OR(F648="L",F648="S",F648="I"),-1,1)</f>
        <v>-185170.21</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793</v>
      </c>
      <c r="AW648" s="899">
        <f t="shared" si="65"/>
        <v>138</v>
      </c>
      <c r="AX648" s="899">
        <f>INDEX(V648:AG648,1,MATCH(Parametres!$B$3,V$1:AG$1,0))*IF(OR(C648="L",C648="S",C648="I"),-1,1)</f>
        <v>931</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-739427.26</v>
      </c>
      <c r="AM649" s="905">
        <f t="shared" si="62"/>
        <v>-125132.81999999995</v>
      </c>
      <c r="AN649" s="905">
        <f>INDEX(G649:R649,1,MATCH(Parametres!$B$3,G$1:R$1,0))*IF(OR(F649="L",F649="S",F649="I"),-1,1)</f>
        <v>-864560.08</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2013</v>
      </c>
      <c r="AW649" s="899">
        <f t="shared" si="65"/>
        <v>295</v>
      </c>
      <c r="AX649" s="899">
        <f>INDEX(V649:AG649,1,MATCH(Parametres!$B$3,V$1:AG$1,0))*IF(OR(C649="L",C649="S",C649="I"),-1,1)</f>
        <v>2308</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-61746</v>
      </c>
      <c r="AM652" s="905">
        <f t="shared" si="62"/>
        <v>-3313.4199999999983</v>
      </c>
      <c r="AN652" s="905">
        <f>INDEX(G652:R652,1,MATCH(Parametres!$B$3,G$1:R$1,0))*IF(OR(F652="L",F652="S",F652="I"),-1,1)</f>
        <v>-65059.42</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75</v>
      </c>
      <c r="AW652" s="899">
        <f t="shared" si="65"/>
        <v>8</v>
      </c>
      <c r="AX652" s="899">
        <f>INDEX(V652:AG652,1,MATCH(Parametres!$B$3,V$1:AG$1,0))*IF(OR(C652="L",C652="S",C652="I"),-1,1)</f>
        <v>83</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-17709.53</v>
      </c>
      <c r="AM653" s="905">
        <f t="shared" si="62"/>
        <v>-10142.23</v>
      </c>
      <c r="AN653" s="905">
        <f>INDEX(G653:R653,1,MATCH(Parametres!$B$3,G$1:R$1,0))*IF(OR(F653="L",F653="S",F653="I"),-1,1)</f>
        <v>-27851.759999999998</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122</v>
      </c>
      <c r="AW653" s="899">
        <f t="shared" si="65"/>
        <v>144</v>
      </c>
      <c r="AX653" s="899">
        <f>INDEX(V653:AG653,1,MATCH(Parametres!$B$3,V$1:AG$1,0))*IF(OR(C653="L",C653="S",C653="I"),-1,1)</f>
        <v>266</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2872.08</v>
      </c>
      <c r="AM655" s="905">
        <f t="shared" si="62"/>
        <v>0</v>
      </c>
      <c r="AN655" s="905">
        <f>INDEX(G655:R655,1,MATCH(Parametres!$B$3,G$1:R$1,0))*IF(OR(F655="L",F655="S",F655="I"),-1,1)</f>
        <v>2872.08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-5</v>
      </c>
      <c r="AW655" s="899">
        <f t="shared" si="65"/>
        <v>0</v>
      </c>
      <c r="AX655" s="899">
        <f>INDEX(V655:AG655,1,MATCH(Parametres!$B$3,V$1:AG$1,0))*IF(OR(C655="L",C655="S",C655="I"),-1,1)</f>
        <v>-5</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331668.28000000003</v>
      </c>
      <c r="AM693" s="905">
        <f t="shared" si="62"/>
        <v>95186.069999999949</v>
      </c>
      <c r="AN693" s="905">
        <f>INDEX(G693:R693,1,MATCH(Parametres!$B$3,G$1:R$1,0))*IF(OR(F693="L",F693="S",F693="I"),-1,1)</f>
        <v>426854.35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279868.21999999997</v>
      </c>
      <c r="AM714" s="905">
        <f t="shared" si="68"/>
        <v>177812.11000000004</v>
      </c>
      <c r="AN714" s="905">
        <f>INDEX(G714:R714,1,MATCH(Parametres!$B$3,G$1:R$1,0))*IF(OR(F714="L",F714="S",F714="I"),-1,1)</f>
        <v>457680.33</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234978.29</v>
      </c>
      <c r="AM721" s="905">
        <f t="shared" si="68"/>
        <v>179474.74999999997</v>
      </c>
      <c r="AN721" s="905">
        <f>INDEX(G721:R721,1,MATCH(Parametres!$B$3,G$1:R$1,0))*IF(OR(F721="L",F721="S",F721="I"),-1,1)</f>
        <v>414453.04</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213024.51</v>
      </c>
      <c r="AM722" s="905">
        <f t="shared" si="68"/>
        <v>54682</v>
      </c>
      <c r="AN722" s="905">
        <f>INDEX(G722:R722,1,MATCH(Parametres!$B$3,G$1:R$1,0))*IF(OR(F722="L",F722="S",F722="I"),-1,1)</f>
        <v>267706.51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306829.92</v>
      </c>
      <c r="AM723" s="905">
        <f t="shared" si="68"/>
        <v>0</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326858.71999999997</v>
      </c>
      <c r="AM724" s="905">
        <f t="shared" si="68"/>
        <v>0</v>
      </c>
      <c r="AN724" s="905">
        <f>INDEX(G724:R724,1,MATCH(Parametres!$B$3,G$1:R$1,0))*IF(OR(F724="L",F724="S",F724="I"),-1,1)</f>
        <v>326858.71999999997</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112883.56</v>
      </c>
      <c r="AM726" s="905">
        <f t="shared" si="68"/>
        <v>0</v>
      </c>
      <c r="AN726" s="905">
        <f>INDEX(G726:R726,1,MATCH(Parametres!$B$3,G$1:R$1,0))*IF(OR(F726="L",F726="S",F726="I"),-1,1)</f>
        <v>112883.56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63346.8</v>
      </c>
      <c r="AM727" s="905">
        <f t="shared" si="68"/>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142877.76000000001</v>
      </c>
      <c r="AM728" s="905">
        <f t="shared" si="68"/>
        <v>0</v>
      </c>
      <c r="AN728" s="905">
        <f>INDEX(G728:R728,1,MATCH(Parametres!$B$3,G$1:R$1,0))*IF(OR(F728="L",F728="S",F728="I"),-1,1)</f>
        <v>142877.76000000001</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449773.68</v>
      </c>
      <c r="AM730" s="905">
        <f t="shared" si="68"/>
        <v>59825</v>
      </c>
      <c r="AN730" s="905">
        <f>INDEX(G730:R730,1,MATCH(Parametres!$B$3,G$1:R$1,0))*IF(OR(F730="L",F730="S",F730="I"),-1,1)</f>
        <v>509598.68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943975.48</v>
      </c>
      <c r="AM731" s="905">
        <f t="shared" si="68"/>
        <v>256191.14000000013</v>
      </c>
      <c r="AN731" s="905">
        <f>INDEX(G731:R731,1,MATCH(Parametres!$B$3,G$1:R$1,0))*IF(OR(F731="L",F731="S",F731="I"),-1,1)</f>
        <v>1200166.6200000001</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3151795.92</v>
      </c>
      <c r="AM732" s="905">
        <f t="shared" si="68"/>
        <v>987717.45000000019</v>
      </c>
      <c r="AN732" s="905">
        <f>INDEX(G732:R732,1,MATCH(Parametres!$B$3,G$1:R$1,0))*IF(OR(F732="L",F732="S",F732="I"),-1,1)</f>
        <v>4139513.37</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303157.34999999998</v>
      </c>
      <c r="AM733" s="905">
        <f t="shared" si="68"/>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974521.42</v>
      </c>
      <c r="AM734" s="905">
        <f t="shared" si="68"/>
        <v>102756.95000000007</v>
      </c>
      <c r="AN734" s="905">
        <f>INDEX(G734:R734,1,MATCH(Parametres!$B$3,G$1:R$1,0))*IF(OR(F734="L",F734="S",F734="I"),-1,1)</f>
        <v>1077278.3700000001</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1478678.29</v>
      </c>
      <c r="AM736" s="905">
        <f t="shared" si="68"/>
        <v>98009.639999999898</v>
      </c>
      <c r="AN736" s="905">
        <f>INDEX(G736:R736,1,MATCH(Parametres!$B$3,G$1:R$1,0))*IF(OR(F736="L",F736="S",F736="I"),-1,1)</f>
        <v>1576687.93</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3458973.51</v>
      </c>
      <c r="AM737" s="905">
        <f t="shared" si="68"/>
        <v>762425.8900000006</v>
      </c>
      <c r="AN737" s="905">
        <f>INDEX(G737:R737,1,MATCH(Parametres!$B$3,G$1:R$1,0))*IF(OR(F737="L",F737="S",F737="I"),-1,1)</f>
        <v>4221399.4000000004</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568404.61</v>
      </c>
      <c r="AM738" s="905">
        <f t="shared" si="68"/>
        <v>212903.57999999996</v>
      </c>
      <c r="AN738" s="905">
        <f>INDEX(G738:R738,1,MATCH(Parametres!$B$3,G$1:R$1,0))*IF(OR(F738="L",F738="S",F738="I"),-1,1)</f>
        <v>781308.19</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0</v>
      </c>
      <c r="AM740" s="905">
        <f t="shared" si="68"/>
        <v>88039.46</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1756411.18</v>
      </c>
      <c r="AM741" s="905">
        <f t="shared" si="68"/>
        <v>594235.50000000023</v>
      </c>
      <c r="AN741" s="905">
        <f>INDEX(G741:R741,1,MATCH(Parametres!$B$3,G$1:R$1,0))*IF(OR(F741="L",F741="S",F741="I"),-1,1)</f>
        <v>2350646.6800000002</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200296.84</v>
      </c>
      <c r="AM744" s="905">
        <f t="shared" si="68"/>
        <v>120349.75000000003</v>
      </c>
      <c r="AN744" s="905">
        <f>INDEX(G744:R744,1,MATCH(Parametres!$B$3,G$1:R$1,0))*IF(OR(F744="L",F744="S",F744="I"),-1,1)</f>
        <v>320646.59000000003</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192114.3</v>
      </c>
      <c r="AM746" s="905">
        <f t="shared" si="68"/>
        <v>81177</v>
      </c>
      <c r="AN746" s="905">
        <f>INDEX(G746:R746,1,MATCH(Parametres!$B$3,G$1:R$1,0))*IF(OR(F746="L",F746="S",F746="I"),-1,1)</f>
        <v>273291.3</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3155515.09</v>
      </c>
      <c r="AM747" s="905">
        <f t="shared" si="68"/>
        <v>1026739.19</v>
      </c>
      <c r="AN747" s="905">
        <f>INDEX(G747:R747,1,MATCH(Parametres!$B$3,G$1:R$1,0))*IF(OR(F747="L",F747="S",F747="I"),-1,1)</f>
        <v>4182254.28</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561201.63</v>
      </c>
      <c r="AM750" s="905">
        <f t="shared" si="68"/>
        <v>136658.45999999996</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165031.84</v>
      </c>
      <c r="AM752" s="905">
        <f t="shared" si="68"/>
        <v>72481.98000000001</v>
      </c>
      <c r="AN752" s="905">
        <f>INDEX(G752:R752,1,MATCH(Parametres!$B$3,G$1:R$1,0))*IF(OR(F752="L",F752="S",F752="I"),-1,1)</f>
        <v>237513.82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126595</v>
      </c>
      <c r="AM753" s="905">
        <f t="shared" si="68"/>
        <v>61790</v>
      </c>
      <c r="AN753" s="905">
        <f>INDEX(G753:R753,1,MATCH(Parametres!$B$3,G$1:R$1,0))*IF(OR(F753="L",F753="S",F753="I"),-1,1)</f>
        <v>188385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44627932.789999999</v>
      </c>
      <c r="AM756" s="905">
        <f t="shared" si="68"/>
        <v>13141517.800000004</v>
      </c>
      <c r="AN756" s="905">
        <f>INDEX(G756:R756,1,MATCH(Parametres!$B$3,G$1:R$1,0))*IF(OR(F756="L",F756="S",F756="I"),-1,1)</f>
        <v>57769450.590000004</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201040.9</v>
      </c>
      <c r="AM758" s="905">
        <f t="shared" si="68"/>
        <v>53251.41</v>
      </c>
      <c r="AN758" s="905">
        <f>INDEX(G758:R758,1,MATCH(Parametres!$B$3,G$1:R$1,0))*IF(OR(F758="L",F758="S",F758="I"),-1,1)</f>
        <v>254292.31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618.29999999999995</v>
      </c>
      <c r="AM760" s="905">
        <f t="shared" si="68"/>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8456</v>
      </c>
      <c r="AM761" s="905">
        <f t="shared" si="68"/>
        <v>4337</v>
      </c>
      <c r="AN761" s="905">
        <f>INDEX(G761:R761,1,MATCH(Parametres!$B$3,G$1:R$1,0))*IF(OR(F761="L",F761="S",F761="I"),-1,1)</f>
        <v>12793</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28361.06</v>
      </c>
      <c r="AM762" s="905">
        <f t="shared" si="68"/>
        <v>4752.3999999999978</v>
      </c>
      <c r="AN762" s="905">
        <f>INDEX(G762:R762,1,MATCH(Parametres!$B$3,G$1:R$1,0))*IF(OR(F762="L",F762="S",F762="I"),-1,1)</f>
        <v>33113.46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16830</v>
      </c>
      <c r="AM763" s="905">
        <f t="shared" si="68"/>
        <v>3630</v>
      </c>
      <c r="AN763" s="905">
        <f>INDEX(G763:R763,1,MATCH(Parametres!$B$3,G$1:R$1,0))*IF(OR(F763="L",F763="S",F763="I"),-1,1)</f>
        <v>20460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581372.28</v>
      </c>
      <c r="AM765" s="905">
        <f t="shared" si="68"/>
        <v>84372.919999999925</v>
      </c>
      <c r="AN765" s="905">
        <f>INDEX(G765:R765,1,MATCH(Parametres!$B$3,G$1:R$1,0))*IF(OR(F765="L",F765="S",F765="I"),-1,1)</f>
        <v>665745.19999999995</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836905.22</v>
      </c>
      <c r="AM770" s="905">
        <f t="shared" si="68"/>
        <v>54246.160000000033</v>
      </c>
      <c r="AN770" s="905">
        <f>INDEX(G770:R770,1,MATCH(Parametres!$B$3,G$1:R$1,0))*IF(OR(F770="L",F770="S",F770="I"),-1,1)</f>
        <v>891151.38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483200.98</v>
      </c>
      <c r="AM773" s="905">
        <f t="shared" si="74"/>
        <v>71826.969999999972</v>
      </c>
      <c r="AN773" s="905">
        <f>INDEX(G773:R773,1,MATCH(Parametres!$B$3,G$1:R$1,0))*IF(OR(F773="L",F773="S",F773="I"),-1,1)</f>
        <v>555027.94999999995</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8184949.5599999996</v>
      </c>
      <c r="AM778" s="905">
        <f t="shared" si="74"/>
        <v>3654864.1600000011</v>
      </c>
      <c r="AN778" s="905">
        <f>INDEX(G778:R778,1,MATCH(Parametres!$B$3,G$1:R$1,0))*IF(OR(F778="L",F778="S",F778="I"),-1,1)</f>
        <v>11839813.720000001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12521887.039999999</v>
      </c>
      <c r="AM779" s="905">
        <f t="shared" si="74"/>
        <v>1393673.6300000008</v>
      </c>
      <c r="AN779" s="905">
        <f>INDEX(G779:R779,1,MATCH(Parametres!$B$3,G$1:R$1,0))*IF(OR(F779="L",F779="S",F779="I"),-1,1)</f>
        <v>13915560.67</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34188.61</v>
      </c>
      <c r="AM781" s="905">
        <f t="shared" si="74"/>
        <v>0</v>
      </c>
      <c r="AN781" s="905">
        <f>INDEX(G781:R781,1,MATCH(Parametres!$B$3,G$1:R$1,0))*IF(OR(F781="L",F781="S",F781="I"),-1,1)</f>
        <v>34188.61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3394.3</v>
      </c>
      <c r="AM783" s="905">
        <f t="shared" si="74"/>
        <v>0</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597577.55000000005</v>
      </c>
      <c r="AM784" s="905">
        <f t="shared" si="74"/>
        <v>0</v>
      </c>
      <c r="AN784" s="905">
        <f>INDEX(G784:R784,1,MATCH(Parametres!$B$3,G$1:R$1,0))*IF(OR(F784="L",F784="S",F784="I"),-1,1)</f>
        <v>597577.55000000005</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14970767.51</v>
      </c>
      <c r="AM786" s="905">
        <f t="shared" si="74"/>
        <v>5538653.1399999987</v>
      </c>
      <c r="AN786" s="905">
        <f>INDEX(G786:R786,1,MATCH(Parametres!$B$3,G$1:R$1,0))*IF(OR(F786="L",F786="S",F786="I"),-1,1)</f>
        <v>20509420.649999999</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88268.58</v>
      </c>
      <c r="AM787" s="905">
        <f t="shared" si="74"/>
        <v>16506.880000000005</v>
      </c>
      <c r="AN787" s="905">
        <f>INDEX(G787:R787,1,MATCH(Parametres!$B$3,G$1:R$1,0))*IF(OR(F787="L",F787="S",F787="I"),-1,1)</f>
        <v>104775.46</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12845.2</v>
      </c>
      <c r="AM790" s="905">
        <f t="shared" si="74"/>
        <v>1191.3899999999994</v>
      </c>
      <c r="AN790" s="905">
        <f>INDEX(G790:R790,1,MATCH(Parametres!$B$3,G$1:R$1,0))*IF(OR(F790="L",F790="S",F790="I"),-1,1)</f>
        <v>14036.59</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109964.12</v>
      </c>
      <c r="AM791" s="905">
        <f t="shared" si="74"/>
        <v>20081.460000000006</v>
      </c>
      <c r="AN791" s="905">
        <f>INDEX(G791:R791,1,MATCH(Parametres!$B$3,G$1:R$1,0))*IF(OR(F791="L",F791="S",F791="I"),-1,1)</f>
        <v>130045.58</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83403.23</v>
      </c>
      <c r="AM794" s="905">
        <f t="shared" si="74"/>
        <v>14972.010000000009</v>
      </c>
      <c r="AN794" s="905">
        <f>INDEX(G794:R794,1,MATCH(Parametres!$B$3,G$1:R$1,0))*IF(OR(F794="L",F794="S",F794="I"),-1,1)</f>
        <v>98375.24</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76082.3</v>
      </c>
      <c r="AM795" s="905">
        <f t="shared" ref="AM795:AM858" si="85">AN795-AL795</f>
        <v>10039.470000000001</v>
      </c>
      <c r="AN795" s="905">
        <f>INDEX(G795:R795,1,MATCH(Parametres!$B$3,G$1:R$1,0))*IF(OR(F795="L",F795="S",F795="I"),-1,1)</f>
        <v>86121.77</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624.79</v>
      </c>
      <c r="AM796" s="905">
        <f t="shared" si="85"/>
        <v>450.03</v>
      </c>
      <c r="AN796" s="905">
        <f>INDEX(G796:R796,1,MATCH(Parametres!$B$3,G$1:R$1,0))*IF(OR(F796="L",F796="S",F796="I"),-1,1)</f>
        <v>1074.82</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33052.15</v>
      </c>
      <c r="AM797" s="905">
        <f t="shared" si="85"/>
        <v>8333.4700000000012</v>
      </c>
      <c r="AN797" s="905">
        <f>INDEX(G797:R797,1,MATCH(Parametres!$B$3,G$1:R$1,0))*IF(OR(F797="L",F797="S",F797="I"),-1,1)</f>
        <v>41385.620000000003</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-23942.25</v>
      </c>
      <c r="AM799" s="905">
        <f t="shared" si="85"/>
        <v>3746.4000000000015</v>
      </c>
      <c r="AN799" s="905">
        <f>INDEX(G799:R799,1,MATCH(Parametres!$B$3,G$1:R$1,0))*IF(OR(F799="L",F799="S",F799="I"),-1,1)</f>
        <v>-20195.849999999999</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75610.89</v>
      </c>
      <c r="AM800" s="905">
        <f t="shared" si="85"/>
        <v>27471.180000000008</v>
      </c>
      <c r="AN800" s="905">
        <f>INDEX(G800:R800,1,MATCH(Parametres!$B$3,G$1:R$1,0))*IF(OR(F800="L",F800="S",F800="I"),-1,1)</f>
        <v>103082.07</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198181.41</v>
      </c>
      <c r="AM803" s="905">
        <f t="shared" si="85"/>
        <v>29873.23000000001</v>
      </c>
      <c r="AN803" s="905">
        <f>INDEX(G803:R803,1,MATCH(Parametres!$B$3,G$1:R$1,0))*IF(OR(F803="L",F803="S",F803="I"),-1,1)</f>
        <v>228054.64</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0</v>
      </c>
      <c r="AM809" s="905">
        <f t="shared" si="85"/>
        <v>8092.18</v>
      </c>
      <c r="AN809" s="905">
        <f>INDEX(G809:R809,1,MATCH(Parametres!$B$3,G$1:R$1,0))*IF(OR(F809="L",F809="S",F809="I"),-1,1)</f>
        <v>8092.18</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95083.67</v>
      </c>
      <c r="AM811" s="905">
        <f t="shared" si="85"/>
        <v>12319.630000000005</v>
      </c>
      <c r="AN811" s="905">
        <f>INDEX(G811:R811,1,MATCH(Parametres!$B$3,G$1:R$1,0))*IF(OR(F811="L",F811="S",F811="I"),-1,1)</f>
        <v>107403.3</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82.84</v>
      </c>
      <c r="AM812" s="905">
        <f t="shared" si="85"/>
        <v>171.67</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6148.51</v>
      </c>
      <c r="AM813" s="905">
        <f t="shared" si="85"/>
        <v>3638.5</v>
      </c>
      <c r="AN813" s="905">
        <f>INDEX(G813:R813,1,MATCH(Parametres!$B$3,G$1:R$1,0))*IF(OR(F813="L",F813="S",F813="I"),-1,1)</f>
        <v>9787.01</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2206.7800000000002</v>
      </c>
      <c r="AM814" s="905">
        <f t="shared" si="85"/>
        <v>624.55999999999995</v>
      </c>
      <c r="AN814" s="905">
        <f>INDEX(G814:R814,1,MATCH(Parametres!$B$3,G$1:R$1,0))*IF(OR(F814="L",F814="S",F814="I"),-1,1)</f>
        <v>2831.34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301773.95</v>
      </c>
      <c r="AM815" s="905">
        <f t="shared" si="85"/>
        <v>59199.27999999997</v>
      </c>
      <c r="AN815" s="905">
        <f>INDEX(G815:R815,1,MATCH(Parametres!$B$3,G$1:R$1,0))*IF(OR(F815="L",F815="S",F815="I"),-1,1)</f>
        <v>360973.23</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11.84</v>
      </c>
      <c r="AM816" s="905">
        <f t="shared" si="8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26746.46</v>
      </c>
      <c r="AM819" s="905">
        <f t="shared" si="85"/>
        <v>6649.0400000000009</v>
      </c>
      <c r="AN819" s="905">
        <f>INDEX(G819:R819,1,MATCH(Parametres!$B$3,G$1:R$1,0))*IF(OR(F819="L",F819="S",F819="I"),-1,1)</f>
        <v>33395.5</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193885.36</v>
      </c>
      <c r="AM820" s="905">
        <f t="shared" si="85"/>
        <v>46705.66</v>
      </c>
      <c r="AN820" s="905">
        <f>INDEX(G820:R820,1,MATCH(Parametres!$B$3,G$1:R$1,0))*IF(OR(F820="L",F820="S",F820="I"),-1,1)</f>
        <v>240591.02</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259750.99</v>
      </c>
      <c r="AM822" s="905">
        <f t="shared" si="85"/>
        <v>29645.030000000028</v>
      </c>
      <c r="AN822" s="905">
        <f>INDEX(G822:R822,1,MATCH(Parametres!$B$3,G$1:R$1,0))*IF(OR(F822="L",F822="S",F822="I"),-1,1)</f>
        <v>289396.02</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121104.63</v>
      </c>
      <c r="AM824" s="905">
        <f t="shared" si="85"/>
        <v>25425.570000000007</v>
      </c>
      <c r="AN824" s="905">
        <f>INDEX(G824:R824,1,MATCH(Parametres!$B$3,G$1:R$1,0))*IF(OR(F824="L",F824="S",F824="I"),-1,1)</f>
        <v>146530.20000000001</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644822.94999999995</v>
      </c>
      <c r="AM825" s="905">
        <f t="shared" si="85"/>
        <v>113746.87</v>
      </c>
      <c r="AN825" s="905">
        <f>INDEX(G825:R825,1,MATCH(Parametres!$B$3,G$1:R$1,0))*IF(OR(F825="L",F825="S",F825="I"),-1,1)</f>
        <v>758569.82</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-35948.54</v>
      </c>
      <c r="AM826" s="905">
        <f t="shared" si="85"/>
        <v>-8585.1999999999971</v>
      </c>
      <c r="AN826" s="905">
        <f>INDEX(G826:R826,1,MATCH(Parametres!$B$3,G$1:R$1,0))*IF(OR(F826="L",F826="S",F826="I"),-1,1)</f>
        <v>-44533.74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-15602.56</v>
      </c>
      <c r="AM827" s="905">
        <f t="shared" si="85"/>
        <v>-5286.5500000000011</v>
      </c>
      <c r="AN827" s="905">
        <f>INDEX(G827:R827,1,MATCH(Parametres!$B$3,G$1:R$1,0))*IF(OR(F827="L",F827="S",F827="I"),-1,1)</f>
        <v>-20889.11</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48424.62</v>
      </c>
      <c r="AM828" s="905">
        <f t="shared" si="85"/>
        <v>2823.6199999999953</v>
      </c>
      <c r="AN828" s="905">
        <f>INDEX(G828:R828,1,MATCH(Parametres!$B$3,G$1:R$1,0))*IF(OR(F828="L",F828="S",F828="I"),-1,1)</f>
        <v>51248.24</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13946.1</v>
      </c>
      <c r="AM829" s="905">
        <f t="shared" si="85"/>
        <v>10331.789999999999</v>
      </c>
      <c r="AN829" s="905">
        <f>INDEX(G829:R829,1,MATCH(Parametres!$B$3,G$1:R$1,0))*IF(OR(F829="L",F829="S",F829="I"),-1,1)</f>
        <v>24277.89</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-3088.92</v>
      </c>
      <c r="AM864" s="905">
        <f t="shared" si="91"/>
        <v>-488.25</v>
      </c>
      <c r="AN864" s="905">
        <f>INDEX(G864:R864,1,MATCH(Parametres!$B$3,G$1:R$1,0))*IF(OR(F864="L",F864="S",F864="I"),-1,1)</f>
        <v>-3577.17</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9</v>
      </c>
      <c r="AW864" s="899">
        <f t="shared" si="94"/>
        <v>1</v>
      </c>
      <c r="AX864" s="899">
        <f>INDEX(V864:AG864,1,MATCH(Parametres!$B$3,V$1:AG$1,0))*IF(OR(C864="L",C864="S",C864="I"),-1,1)</f>
        <v>10</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-15831.85</v>
      </c>
      <c r="AM866" s="905">
        <f t="shared" si="91"/>
        <v>-2900.1900000000005</v>
      </c>
      <c r="AN866" s="905">
        <f>INDEX(G866:R866,1,MATCH(Parametres!$B$3,G$1:R$1,0))*IF(OR(F866="L",F866="S",F866="I"),-1,1)</f>
        <v>-18732.04</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-7440.39</v>
      </c>
      <c r="AM868" s="905">
        <f t="shared" si="91"/>
        <v>-4060.4800000000005</v>
      </c>
      <c r="AN868" s="905">
        <f>INDEX(G868:R868,1,MATCH(Parametres!$B$3,G$1:R$1,0))*IF(OR(F868="L",F868="S",F868="I"),-1,1)</f>
        <v>-11500.87</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12</v>
      </c>
      <c r="AW868" s="899">
        <f t="shared" si="94"/>
        <v>2</v>
      </c>
      <c r="AX868" s="899">
        <f>INDEX(V868:AG868,1,MATCH(Parametres!$B$3,V$1:AG$1,0))*IF(OR(C868="L",C868="S",C868="I"),-1,1)</f>
        <v>14</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-762.02</v>
      </c>
      <c r="AM870" s="905">
        <f t="shared" si="9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60180.22</v>
      </c>
      <c r="AM884" s="905">
        <f t="shared" si="91"/>
        <v>15438.959999999992</v>
      </c>
      <c r="AN884" s="905">
        <f>INDEX(G884:R884,1,MATCH(Parametres!$B$3,G$1:R$1,0))*IF(OR(F884="L",F884="S",F884="I"),-1,1)</f>
        <v>75619.179999999993</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12388.15</v>
      </c>
      <c r="AM886" s="905">
        <f t="shared" si="91"/>
        <v>201.6200000000008</v>
      </c>
      <c r="AN886" s="905">
        <f>INDEX(G886:R886,1,MATCH(Parametres!$B$3,G$1:R$1,0))*IF(OR(F886="L",F886="S",F886="I"),-1,1)</f>
        <v>12589.77</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-147338.01</v>
      </c>
      <c r="AM893" s="905">
        <f t="shared" si="91"/>
        <v>-96310.289999999979</v>
      </c>
      <c r="AN893" s="905">
        <f>INDEX(G893:R893,1,MATCH(Parametres!$B$3,G$1:R$1,0))*IF(OR(F893="L",F893="S",F893="I"),-1,1)</f>
        <v>-243648.3</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47</v>
      </c>
      <c r="AW893" s="899">
        <f t="shared" si="94"/>
        <v>12</v>
      </c>
      <c r="AX893" s="899">
        <f>INDEX(V893:AG893,1,MATCH(Parametres!$B$3,V$1:AG$1,0))*IF(OR(C893="L",C893="S",C893="I"),-1,1)</f>
        <v>59</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-142305.12</v>
      </c>
      <c r="AM894" s="905">
        <f t="shared" si="91"/>
        <v>-10883.369999999995</v>
      </c>
      <c r="AN894" s="905">
        <f>INDEX(G894:R894,1,MATCH(Parametres!$B$3,G$1:R$1,0))*IF(OR(F894="L",F894="S",F894="I"),-1,1)</f>
        <v>-153188.49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2</v>
      </c>
      <c r="AW894" s="899">
        <f t="shared" si="94"/>
        <v>3</v>
      </c>
      <c r="AX894" s="899">
        <f>INDEX(V894:AG894,1,MATCH(Parametres!$B$3,V$1:AG$1,0))*IF(OR(C894="L",C894="S",C894="I"),-1,1)</f>
        <v>5</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3018.51</v>
      </c>
      <c r="AM897" s="905">
        <f t="shared" si="91"/>
        <v>295.77999999999975</v>
      </c>
      <c r="AN897" s="905">
        <f>INDEX(G897:R897,1,MATCH(Parametres!$B$3,G$1:R$1,0))*IF(OR(F897="L",F897="S",F897="I"),-1,1)</f>
        <v>3314.29</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26446.45</v>
      </c>
      <c r="AM899" s="905">
        <f t="shared" si="91"/>
        <v>0</v>
      </c>
      <c r="AN899" s="905">
        <f>INDEX(G899:R899,1,MATCH(Parametres!$B$3,G$1:R$1,0))*IF(OR(F899="L",F899="S",F899="I"),-1,1)</f>
        <v>26446.45</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36"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2026-06-17T02:54:08Z</dcterms:modified>
</cp:coreProperties>
</file>